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00132450\Desktop\"/>
    </mc:Choice>
  </mc:AlternateContent>
  <xr:revisionPtr revIDLastSave="0" documentId="13_ncr:1_{2A96251F-6C47-48FD-AEB2-27E9DA348C2D}" xr6:coauthVersionLast="47" xr6:coauthVersionMax="47" xr10:uidLastSave="{00000000-0000-0000-0000-000000000000}"/>
  <bookViews>
    <workbookView xWindow="-120" yWindow="-120" windowWidth="29040" windowHeight="15840" tabRatio="759" xr2:uid="{00000000-000D-0000-FFFF-FFFF00000000}"/>
  </bookViews>
  <sheets>
    <sheet name="条件入力表" sheetId="3" r:id="rId1"/>
    <sheet name="総括内訳表" sheetId="1" r:id="rId2"/>
    <sheet name="直接事業費 内訳" sheetId="34" r:id="rId3"/>
    <sheet name="№1-1（伐倒）" sheetId="25" r:id="rId4"/>
    <sheet name="№1-2（造材）" sheetId="26" r:id="rId5"/>
    <sheet name="№1-3（集材）" sheetId="27" r:id="rId6"/>
    <sheet name="№1-4（森林作業道作設）" sheetId="38" r:id="rId7"/>
    <sheet name="№1-5（その他作業）" sheetId="37" r:id="rId8"/>
    <sheet name="作業工程表" sheetId="35" r:id="rId9"/>
    <sheet name="諸雑費" sheetId="36" r:id="rId10"/>
    <sheet name="森林作業道作設諸雑費等" sheetId="39" r:id="rId11"/>
  </sheets>
  <definedNames>
    <definedName name="_xlnm.Print_Area" localSheetId="4">'№1-2（造材）'!$A$1:$H$18</definedName>
    <definedName name="_xlnm.Print_Area" localSheetId="5">'№1-3（集材）'!$A$1:$H$12</definedName>
    <definedName name="_xlnm.Print_Area" localSheetId="7">'№1-5（その他作業）'!$A$1:$H$18</definedName>
    <definedName name="_xlnm.Print_Area" localSheetId="0">条件入力表!$A$1:$G$26</definedName>
    <definedName name="_xlnm.Print_Area" localSheetId="2">'直接事業費 内訳'!$A$1:$E$17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37" l="1"/>
  <c r="AC41" i="35"/>
  <c r="AE42" i="35"/>
  <c r="E7" i="27"/>
  <c r="C6" i="37"/>
  <c r="C7" i="37"/>
  <c r="C10" i="37"/>
  <c r="C11" i="37"/>
  <c r="I17" i="36"/>
  <c r="H17" i="36"/>
  <c r="I13" i="36"/>
  <c r="H13" i="36"/>
  <c r="F10" i="37"/>
  <c r="F19" i="3"/>
  <c r="C13" i="36" l="1"/>
  <c r="F18" i="3"/>
  <c r="F20" i="3" s="1"/>
  <c r="F21" i="3" s="1"/>
  <c r="F17" i="36"/>
  <c r="G8" i="25"/>
  <c r="G7" i="25"/>
  <c r="N15" i="36" l="1"/>
  <c r="F11" i="37"/>
  <c r="AD41" i="35"/>
  <c r="AE41" i="35"/>
  <c r="AC42" i="35"/>
  <c r="AD42" i="35"/>
  <c r="W41" i="35"/>
  <c r="X41" i="35"/>
  <c r="W42" i="35"/>
  <c r="X42" i="35"/>
  <c r="V42" i="35"/>
  <c r="V41" i="35"/>
  <c r="H12" i="37" l="1"/>
  <c r="F12" i="37" s="1"/>
  <c r="G5" i="38"/>
  <c r="L9" i="36"/>
  <c r="L4" i="36"/>
  <c r="O15" i="39"/>
  <c r="O16" i="39"/>
  <c r="O14" i="39"/>
  <c r="M16" i="39"/>
  <c r="G16" i="39"/>
  <c r="L16" i="39" s="1"/>
  <c r="F16" i="39"/>
  <c r="J16" i="39" s="1"/>
  <c r="M15" i="39"/>
  <c r="G15" i="39"/>
  <c r="L15" i="39" s="1"/>
  <c r="F15" i="39"/>
  <c r="M14" i="39"/>
  <c r="G14" i="39"/>
  <c r="L14" i="39" s="1"/>
  <c r="F14" i="39"/>
  <c r="J14" i="39" s="1"/>
  <c r="I14" i="39" l="1"/>
  <c r="I16" i="39"/>
  <c r="H15" i="39"/>
  <c r="J15" i="39"/>
  <c r="H14" i="39"/>
  <c r="I15" i="39"/>
  <c r="H16" i="39"/>
  <c r="G7" i="38" s="1"/>
  <c r="C7" i="38" s="1"/>
  <c r="P9" i="36"/>
  <c r="K14" i="39" s="1"/>
  <c r="P4" i="36"/>
  <c r="N4" i="36"/>
  <c r="G8" i="38"/>
  <c r="C8" i="38" s="1"/>
  <c r="N9" i="36"/>
  <c r="P14" i="39" l="1"/>
  <c r="N16" i="39"/>
  <c r="N15" i="39"/>
  <c r="N14" i="39"/>
  <c r="K16" i="39"/>
  <c r="K15" i="39"/>
  <c r="E7" i="38"/>
  <c r="E8" i="38"/>
  <c r="G3" i="38"/>
  <c r="C19" i="3"/>
  <c r="G4" i="27"/>
  <c r="G7" i="27" s="1"/>
  <c r="G4" i="26"/>
  <c r="G3" i="37"/>
  <c r="C9" i="25"/>
  <c r="E7" i="25"/>
  <c r="E8" i="25"/>
  <c r="E8" i="27"/>
  <c r="P15" i="39" l="1"/>
  <c r="G9" i="38" s="1"/>
  <c r="F9" i="38" s="1"/>
  <c r="G8" i="27"/>
  <c r="B8" i="27"/>
  <c r="B7" i="27"/>
  <c r="P16" i="39"/>
  <c r="C9" i="27"/>
  <c r="B8" i="26"/>
  <c r="G7" i="26"/>
  <c r="F8" i="38"/>
  <c r="G8" i="26"/>
  <c r="C16" i="26"/>
  <c r="G10" i="26"/>
  <c r="F7" i="37"/>
  <c r="G15" i="26"/>
  <c r="G5" i="27"/>
  <c r="C7" i="27" s="1"/>
  <c r="G3" i="27"/>
  <c r="D3" i="34"/>
  <c r="E7" i="26"/>
  <c r="G14" i="26"/>
  <c r="G13" i="26"/>
  <c r="G12" i="26"/>
  <c r="G11" i="26"/>
  <c r="G3" i="26"/>
  <c r="E15" i="26"/>
  <c r="E13" i="26"/>
  <c r="E11" i="26"/>
  <c r="E14" i="26"/>
  <c r="E12" i="26"/>
  <c r="E10" i="26"/>
  <c r="C8" i="27" l="1"/>
  <c r="F7" i="38"/>
  <c r="F19" i="38" s="1"/>
  <c r="C9" i="34" s="1"/>
  <c r="F6" i="37"/>
  <c r="G5" i="26"/>
  <c r="C15" i="26" s="1"/>
  <c r="F15" i="26" s="1"/>
  <c r="G3" i="25"/>
  <c r="H8" i="37" l="1"/>
  <c r="F18" i="37" s="1"/>
  <c r="C7" i="26"/>
  <c r="C8" i="26"/>
  <c r="C10" i="26"/>
  <c r="C12" i="26"/>
  <c r="F12" i="26" s="1"/>
  <c r="C13" i="26"/>
  <c r="F13" i="26" s="1"/>
  <c r="C14" i="26"/>
  <c r="F14" i="26" s="1"/>
  <c r="F10" i="26"/>
  <c r="C11" i="26"/>
  <c r="F11" i="26" s="1"/>
  <c r="F7" i="26"/>
  <c r="C10" i="34" l="1"/>
  <c r="F8" i="26"/>
  <c r="H16" i="26"/>
  <c r="F16" i="26" s="1"/>
  <c r="G5" i="25"/>
  <c r="C7" i="25" l="1"/>
  <c r="F7" i="25" s="1"/>
  <c r="C8" i="25"/>
  <c r="F18" i="26"/>
  <c r="C7" i="34" s="1"/>
  <c r="F7" i="27"/>
  <c r="F8" i="27"/>
  <c r="H9" i="27" l="1"/>
  <c r="F9" i="27" s="1"/>
  <c r="F12" i="27" s="1"/>
  <c r="F8" i="25"/>
  <c r="H9" i="25" l="1"/>
  <c r="F9" i="25" s="1"/>
  <c r="F12" i="25" s="1"/>
  <c r="C6" i="34" s="1"/>
  <c r="C8" i="34"/>
  <c r="C16" i="34" l="1"/>
  <c r="C17" i="34" s="1"/>
  <c r="G4" i="1" s="1"/>
  <c r="I5" i="1" l="1"/>
  <c r="F5" i="1" s="1"/>
  <c r="G5" i="1" l="1"/>
  <c r="I6" i="1" l="1"/>
  <c r="F6" i="1" s="1"/>
  <c r="G6" i="1" l="1"/>
  <c r="I7" i="1" s="1"/>
  <c r="F7" i="1" s="1"/>
  <c r="G7" i="1" l="1"/>
  <c r="G8" i="1" s="1"/>
  <c r="G9" i="1" l="1"/>
  <c r="I11" i="1" s="1"/>
  <c r="G11" i="1" s="1"/>
  <c r="G13" i="1" s="1"/>
  <c r="F2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石原　拓弥</author>
  </authors>
  <commentList>
    <comment ref="E17" authorId="0" shapeId="0" xr:uid="{A682E1B9-BE60-4A88-8110-0CDAB1CFE2CE}">
      <text>
        <r>
          <rPr>
            <sz val="9"/>
            <color theme="1"/>
            <rFont val="ＭＳ 明朝"/>
            <family val="1"/>
            <charset val="128"/>
          </rPr>
          <t>国家公務員の寒冷地手当に関する法律及び寒冷地手当支給規則に規定される寒冷地手当を支給する地域</t>
        </r>
      </text>
    </comment>
  </commentList>
</comments>
</file>

<file path=xl/sharedStrings.xml><?xml version="1.0" encoding="utf-8"?>
<sst xmlns="http://schemas.openxmlformats.org/spreadsheetml/2006/main" count="624" uniqueCount="275">
  <si>
    <t>１　現場名</t>
    <rPh sb="2" eb="4">
      <t>ゲンバ</t>
    </rPh>
    <rPh sb="4" eb="5">
      <t>メイ</t>
    </rPh>
    <phoneticPr fontId="1"/>
  </si>
  <si>
    <t>２　事業内容</t>
    <rPh sb="2" eb="4">
      <t>ジギョウ</t>
    </rPh>
    <rPh sb="4" eb="6">
      <t>ナイヨウ</t>
    </rPh>
    <phoneticPr fontId="1"/>
  </si>
  <si>
    <t>スギ</t>
    <phoneticPr fontId="1"/>
  </si>
  <si>
    <t>ヒノキ</t>
    <phoneticPr fontId="1"/>
  </si>
  <si>
    <t>カラマツ</t>
    <phoneticPr fontId="1"/>
  </si>
  <si>
    <t>林齢</t>
    <rPh sb="0" eb="2">
      <t>リンレイ</t>
    </rPh>
    <phoneticPr fontId="1"/>
  </si>
  <si>
    <t>水色セル</t>
    <rPh sb="0" eb="2">
      <t>ミズイロ</t>
    </rPh>
    <phoneticPr fontId="1"/>
  </si>
  <si>
    <t>調査結果、根拠資料等から入力</t>
    <rPh sb="0" eb="2">
      <t>チョウサ</t>
    </rPh>
    <rPh sb="2" eb="4">
      <t>ケッカ</t>
    </rPh>
    <rPh sb="5" eb="7">
      <t>コンキョ</t>
    </rPh>
    <rPh sb="7" eb="9">
      <t>シリョウ</t>
    </rPh>
    <rPh sb="9" eb="10">
      <t>トウ</t>
    </rPh>
    <rPh sb="12" eb="14">
      <t>ニュウリョク</t>
    </rPh>
    <phoneticPr fontId="1"/>
  </si>
  <si>
    <t>立木本数密度（本/ha）</t>
    <rPh sb="0" eb="2">
      <t>リュウボク</t>
    </rPh>
    <rPh sb="2" eb="4">
      <t>ホンスウ</t>
    </rPh>
    <rPh sb="4" eb="6">
      <t>ミツド</t>
    </rPh>
    <rPh sb="7" eb="8">
      <t>ホン</t>
    </rPh>
    <phoneticPr fontId="1"/>
  </si>
  <si>
    <t>黄色セル</t>
    <rPh sb="0" eb="2">
      <t>キイロ</t>
    </rPh>
    <phoneticPr fontId="1"/>
  </si>
  <si>
    <t>数式が入力されているので、編集しない</t>
    <rPh sb="0" eb="2">
      <t>スウシキ</t>
    </rPh>
    <rPh sb="3" eb="5">
      <t>ニュウリョク</t>
    </rPh>
    <rPh sb="13" eb="15">
      <t>ヘンシュウ</t>
    </rPh>
    <phoneticPr fontId="1"/>
  </si>
  <si>
    <t>間伐方法</t>
    <rPh sb="0" eb="2">
      <t>カンバツ</t>
    </rPh>
    <rPh sb="2" eb="4">
      <t>ホウホウ</t>
    </rPh>
    <phoneticPr fontId="1"/>
  </si>
  <si>
    <t>本数間伐率（％）</t>
    <rPh sb="0" eb="2">
      <t>ホンスウ</t>
    </rPh>
    <rPh sb="2" eb="4">
      <t>カンバツ</t>
    </rPh>
    <rPh sb="4" eb="5">
      <t>リツ</t>
    </rPh>
    <phoneticPr fontId="1"/>
  </si>
  <si>
    <t>haあたり伐採本数（本/ha）</t>
    <rPh sb="5" eb="7">
      <t>バッサイ</t>
    </rPh>
    <rPh sb="7" eb="9">
      <t>ホンスウ</t>
    </rPh>
    <rPh sb="10" eb="11">
      <t>ホン</t>
    </rPh>
    <phoneticPr fontId="1"/>
  </si>
  <si>
    <t>伐採木の平均胸高直径</t>
    <rPh sb="0" eb="2">
      <t>バッサイ</t>
    </rPh>
    <rPh sb="2" eb="3">
      <t>ボク</t>
    </rPh>
    <rPh sb="4" eb="6">
      <t>ヘイキン</t>
    </rPh>
    <rPh sb="6" eb="8">
      <t>キョウコウ</t>
    </rPh>
    <rPh sb="8" eb="10">
      <t>チョッケイ</t>
    </rPh>
    <phoneticPr fontId="1"/>
  </si>
  <si>
    <t>搬出見込み丸太材積（m3）</t>
    <rPh sb="0" eb="2">
      <t>ハンシュツ</t>
    </rPh>
    <rPh sb="2" eb="4">
      <t>ミコ</t>
    </rPh>
    <rPh sb="5" eb="7">
      <t>マルタ</t>
    </rPh>
    <rPh sb="7" eb="9">
      <t>ザイセキ</t>
    </rPh>
    <phoneticPr fontId="1"/>
  </si>
  <si>
    <t>特殊作業員</t>
    <rPh sb="0" eb="2">
      <t>トクシュ</t>
    </rPh>
    <rPh sb="2" eb="5">
      <t>サギョウイン</t>
    </rPh>
    <phoneticPr fontId="1"/>
  </si>
  <si>
    <t>普通作業員</t>
    <rPh sb="0" eb="2">
      <t>フツウ</t>
    </rPh>
    <rPh sb="2" eb="5">
      <t>サギョウイン</t>
    </rPh>
    <phoneticPr fontId="1"/>
  </si>
  <si>
    <t>運転手（特殊）</t>
    <rPh sb="0" eb="3">
      <t>ウンテンシュ</t>
    </rPh>
    <rPh sb="4" eb="6">
      <t>トクシュ</t>
    </rPh>
    <phoneticPr fontId="1"/>
  </si>
  <si>
    <t>総括内訳表</t>
    <rPh sb="0" eb="2">
      <t>ソウカツ</t>
    </rPh>
    <rPh sb="2" eb="4">
      <t>ウチワケ</t>
    </rPh>
    <rPh sb="4" eb="5">
      <t>ヒョウ</t>
    </rPh>
    <phoneticPr fontId="1"/>
  </si>
  <si>
    <t>区　分</t>
    <rPh sb="0" eb="1">
      <t>ク</t>
    </rPh>
    <rPh sb="2" eb="3">
      <t>フン</t>
    </rPh>
    <phoneticPr fontId="1"/>
  </si>
  <si>
    <t>名　称</t>
    <rPh sb="0" eb="1">
      <t>ナ</t>
    </rPh>
    <rPh sb="2" eb="3">
      <t>ショウ</t>
    </rPh>
    <phoneticPr fontId="1"/>
  </si>
  <si>
    <t>工　　種</t>
    <rPh sb="0" eb="1">
      <t>コウ</t>
    </rPh>
    <rPh sb="3" eb="4">
      <t>シュ</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</si>
  <si>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</si>
  <si>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</si>
  <si>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</si>
  <si>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</si>
  <si>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備　考</t>
    <rPh sb="0" eb="1">
      <t>ソナエ</t>
    </rPh>
    <rPh sb="2" eb="3">
      <t>コウ</t>
    </rPh>
    <phoneticPr fontId="1"/>
  </si>
  <si>
    <t>（1,000円未満切捨）</t>
    <rPh sb="6" eb="7">
      <t>エン</t>
    </rPh>
    <rPh sb="7" eb="9">
      <t>ミマン</t>
    </rPh>
    <rPh sb="9" eb="10">
      <t>キ</t>
    </rPh>
    <rPh sb="10" eb="11">
      <t>ス</t>
    </rPh>
    <phoneticPr fontId="1"/>
  </si>
  <si>
    <t>共通仮設費</t>
    <rPh sb="0" eb="2">
      <t>キョウツウ</t>
    </rPh>
    <rPh sb="2" eb="4">
      <t>カセツ</t>
    </rPh>
    <rPh sb="4" eb="5">
      <t>ヒ</t>
    </rPh>
    <phoneticPr fontId="1"/>
  </si>
  <si>
    <t>式</t>
    <rPh sb="0" eb="1">
      <t>シキ</t>
    </rPh>
    <phoneticPr fontId="1"/>
  </si>
  <si>
    <t>対象額</t>
    <rPh sb="0" eb="2">
      <t>タイショウ</t>
    </rPh>
    <rPh sb="2" eb="3">
      <t>ガク</t>
    </rPh>
    <phoneticPr fontId="1"/>
  </si>
  <si>
    <t>現場管理費</t>
    <rPh sb="0" eb="2">
      <t>ゲンバ</t>
    </rPh>
    <rPh sb="2" eb="5">
      <t>カンリヒ</t>
    </rPh>
    <phoneticPr fontId="1"/>
  </si>
  <si>
    <t>一般管理費等</t>
    <rPh sb="0" eb="2">
      <t>イッパン</t>
    </rPh>
    <rPh sb="2" eb="5">
      <t>カンリヒ</t>
    </rPh>
    <rPh sb="5" eb="6">
      <t>トウ</t>
    </rPh>
    <phoneticPr fontId="1"/>
  </si>
  <si>
    <t>事業費　計</t>
    <rPh sb="0" eb="3">
      <t>ジギョウヒ</t>
    </rPh>
    <rPh sb="4" eb="5">
      <t>ケイ</t>
    </rPh>
    <phoneticPr fontId="1"/>
  </si>
  <si>
    <t>消費税相当額</t>
    <rPh sb="0" eb="3">
      <t>ショウヒゼイ</t>
    </rPh>
    <rPh sb="3" eb="5">
      <t>ソウトウ</t>
    </rPh>
    <rPh sb="5" eb="6">
      <t>ガク</t>
    </rPh>
    <phoneticPr fontId="1"/>
  </si>
  <si>
    <t>合　　計</t>
    <rPh sb="0" eb="1">
      <t>ゴウ</t>
    </rPh>
    <rPh sb="3" eb="4">
      <t>ケイ</t>
    </rPh>
    <phoneticPr fontId="1"/>
  </si>
  <si>
    <t>直接事業費　内訳</t>
    <rPh sb="0" eb="2">
      <t>チョクセツ</t>
    </rPh>
    <rPh sb="2" eb="5">
      <t>ジギョウヒ</t>
    </rPh>
    <rPh sb="6" eb="8">
      <t>ウチワケ</t>
    </rPh>
    <phoneticPr fontId="1"/>
  </si>
  <si>
    <t>名称：</t>
    <rPh sb="0" eb="2">
      <t>メイショウ</t>
    </rPh>
    <phoneticPr fontId="1"/>
  </si>
  <si>
    <t>工種：</t>
    <rPh sb="0" eb="1">
      <t>コウ</t>
    </rPh>
    <rPh sb="1" eb="2">
      <t>シュ</t>
    </rPh>
    <phoneticPr fontId="1"/>
  </si>
  <si>
    <t>伐倒本数：</t>
    <rPh sb="0" eb="2">
      <t>バットウ</t>
    </rPh>
    <rPh sb="2" eb="4">
      <t>ホンスウ</t>
    </rPh>
    <phoneticPr fontId="1"/>
  </si>
  <si>
    <t>形状・寸法</t>
    <rPh sb="0" eb="2">
      <t>ケイジョウ</t>
    </rPh>
    <rPh sb="3" eb="5">
      <t>スンポウ</t>
    </rPh>
    <phoneticPr fontId="1"/>
  </si>
  <si>
    <t>直接事業費</t>
    <rPh sb="0" eb="2">
      <t>チョクセツ</t>
    </rPh>
    <rPh sb="2" eb="5">
      <t>ジギョウヒ</t>
    </rPh>
    <phoneticPr fontId="1"/>
  </si>
  <si>
    <t>伐倒</t>
    <rPh sb="0" eb="2">
      <t>バットウ</t>
    </rPh>
    <phoneticPr fontId="1"/>
  </si>
  <si>
    <t>造材</t>
    <rPh sb="0" eb="2">
      <t>ゾウザイ</t>
    </rPh>
    <phoneticPr fontId="1"/>
  </si>
  <si>
    <t>集材</t>
    <rPh sb="0" eb="2">
      <t>シュウザイ</t>
    </rPh>
    <phoneticPr fontId="1"/>
  </si>
  <si>
    <t>玉切</t>
    <rPh sb="0" eb="1">
      <t>タマ</t>
    </rPh>
    <rPh sb="1" eb="2">
      <t>ギ</t>
    </rPh>
    <phoneticPr fontId="1"/>
  </si>
  <si>
    <t>合　計</t>
    <rPh sb="0" eb="1">
      <t>ゴウ</t>
    </rPh>
    <rPh sb="2" eb="3">
      <t>ケイ</t>
    </rPh>
    <phoneticPr fontId="1"/>
  </si>
  <si>
    <t>直接費事業費№1-1</t>
    <rPh sb="0" eb="2">
      <t>チョクセツ</t>
    </rPh>
    <rPh sb="2" eb="3">
      <t>ヒ</t>
    </rPh>
    <rPh sb="3" eb="6">
      <t>ジギョウヒ</t>
    </rPh>
    <phoneticPr fontId="1"/>
  </si>
  <si>
    <t>本</t>
    <rPh sb="0" eb="1">
      <t>ホン</t>
    </rPh>
    <phoneticPr fontId="1"/>
  </si>
  <si>
    <t>数　量</t>
    <rPh sb="0" eb="1">
      <t>スウ</t>
    </rPh>
    <rPh sb="2" eb="3">
      <t>リョウ</t>
    </rPh>
    <phoneticPr fontId="1"/>
  </si>
  <si>
    <t>金　額</t>
    <rPh sb="0" eb="1">
      <t>キン</t>
    </rPh>
    <rPh sb="2" eb="3">
      <t>ガク</t>
    </rPh>
    <phoneticPr fontId="1"/>
  </si>
  <si>
    <t>人</t>
    <rPh sb="0" eb="1">
      <t>ニン</t>
    </rPh>
    <phoneticPr fontId="1"/>
  </si>
  <si>
    <t>人/100本</t>
    <rPh sb="0" eb="1">
      <t>ニン</t>
    </rPh>
    <rPh sb="5" eb="6">
      <t>ホン</t>
    </rPh>
    <phoneticPr fontId="1"/>
  </si>
  <si>
    <t>諸雑費</t>
    <rPh sb="0" eb="1">
      <t>ショ</t>
    </rPh>
    <rPh sb="1" eb="3">
      <t>ザッピ</t>
    </rPh>
    <phoneticPr fontId="1"/>
  </si>
  <si>
    <t>計</t>
    <rPh sb="0" eb="1">
      <t>ケイ</t>
    </rPh>
    <phoneticPr fontId="1"/>
  </si>
  <si>
    <t>円</t>
    <rPh sb="0" eb="1">
      <t>エン</t>
    </rPh>
    <phoneticPr fontId="1"/>
  </si>
  <si>
    <t>（円以下切捨て）</t>
    <rPh sb="1" eb="2">
      <t>エン</t>
    </rPh>
    <rPh sb="2" eb="4">
      <t>イカ</t>
    </rPh>
    <rPh sb="4" eb="6">
      <t>キリス</t>
    </rPh>
    <phoneticPr fontId="1"/>
  </si>
  <si>
    <t>直接費事業費№1-2</t>
    <rPh sb="0" eb="2">
      <t>チョクセツ</t>
    </rPh>
    <rPh sb="2" eb="3">
      <t>ヒ</t>
    </rPh>
    <rPh sb="3" eb="6">
      <t>ジギョウヒ</t>
    </rPh>
    <phoneticPr fontId="1"/>
  </si>
  <si>
    <t>搬出見込み丸太材積：</t>
    <rPh sb="0" eb="2">
      <t>ハンシュツ</t>
    </rPh>
    <rPh sb="2" eb="4">
      <t>ミコ</t>
    </rPh>
    <rPh sb="5" eb="7">
      <t>マルタ</t>
    </rPh>
    <rPh sb="7" eb="9">
      <t>ザイセキ</t>
    </rPh>
    <phoneticPr fontId="1"/>
  </si>
  <si>
    <t>m3</t>
    <phoneticPr fontId="1"/>
  </si>
  <si>
    <t>プロセッサ</t>
    <phoneticPr fontId="1"/>
  </si>
  <si>
    <t>人/10m3</t>
    <rPh sb="0" eb="1">
      <t>ニン</t>
    </rPh>
    <phoneticPr fontId="1"/>
  </si>
  <si>
    <t>日</t>
    <rPh sb="0" eb="1">
      <t>ニチ</t>
    </rPh>
    <phoneticPr fontId="1"/>
  </si>
  <si>
    <t>円/日</t>
    <rPh sb="0" eb="1">
      <t>エン</t>
    </rPh>
    <rPh sb="2" eb="3">
      <t>ニチ</t>
    </rPh>
    <phoneticPr fontId="1"/>
  </si>
  <si>
    <t>チェーンソー（スギ）</t>
    <phoneticPr fontId="1"/>
  </si>
  <si>
    <t>チェーンソー（ヒノキ）</t>
    <phoneticPr fontId="1"/>
  </si>
  <si>
    <t>チェーンソー（カラマツ）</t>
    <phoneticPr fontId="1"/>
  </si>
  <si>
    <t>直接費事業費№1-3</t>
    <rPh sb="0" eb="2">
      <t>チョクセツ</t>
    </rPh>
    <rPh sb="2" eb="3">
      <t>ヒ</t>
    </rPh>
    <rPh sb="3" eb="6">
      <t>ジギョウヒ</t>
    </rPh>
    <phoneticPr fontId="1"/>
  </si>
  <si>
    <t>％</t>
    <phoneticPr fontId="1"/>
  </si>
  <si>
    <t>人工造林</t>
    <rPh sb="0" eb="2">
      <t>ジンコウ</t>
    </rPh>
    <rPh sb="2" eb="4">
      <t>ゾウリン</t>
    </rPh>
    <phoneticPr fontId="1"/>
  </si>
  <si>
    <t>植穴堀付・植付（コンテナ苗）</t>
    <rPh sb="0" eb="2">
      <t>ウエアナ</t>
    </rPh>
    <rPh sb="2" eb="3">
      <t>ホリ</t>
    </rPh>
    <rPh sb="3" eb="4">
      <t>ツ</t>
    </rPh>
    <rPh sb="5" eb="6">
      <t>ウ</t>
    </rPh>
    <rPh sb="6" eb="7">
      <t>ツ</t>
    </rPh>
    <rPh sb="12" eb="13">
      <t>ナエ</t>
    </rPh>
    <phoneticPr fontId="1"/>
  </si>
  <si>
    <t>苗木運搬（人肩運搬）</t>
    <rPh sb="0" eb="2">
      <t>ナエギ</t>
    </rPh>
    <rPh sb="2" eb="4">
      <t>ウンパン</t>
    </rPh>
    <rPh sb="5" eb="6">
      <t>ヒト</t>
    </rPh>
    <rPh sb="6" eb="7">
      <t>カタ</t>
    </rPh>
    <rPh sb="7" eb="9">
      <t>ウンパン</t>
    </rPh>
    <phoneticPr fontId="1"/>
  </si>
  <si>
    <t>（樹下植栽含む）</t>
    <rPh sb="1" eb="3">
      <t>ジュカ</t>
    </rPh>
    <rPh sb="3" eb="5">
      <t>ショクサイ</t>
    </rPh>
    <rPh sb="5" eb="6">
      <t>フク</t>
    </rPh>
    <phoneticPr fontId="1"/>
  </si>
  <si>
    <t>名称</t>
    <rPh sb="0" eb="2">
      <t>メイショウ</t>
    </rPh>
    <phoneticPr fontId="1"/>
  </si>
  <si>
    <t>人/ha</t>
    <rPh sb="0" eb="1">
      <t>ニン</t>
    </rPh>
    <phoneticPr fontId="1"/>
  </si>
  <si>
    <t>※機械損料と燃料費は含まないため別途計上</t>
    <rPh sb="1" eb="3">
      <t>キカイ</t>
    </rPh>
    <rPh sb="3" eb="5">
      <t>ソンリョウ</t>
    </rPh>
    <rPh sb="6" eb="9">
      <t>ネンリョウヒ</t>
    </rPh>
    <rPh sb="10" eb="11">
      <t>フク</t>
    </rPh>
    <rPh sb="16" eb="18">
      <t>ベット</t>
    </rPh>
    <rPh sb="18" eb="20">
      <t>ケイジョウ</t>
    </rPh>
    <phoneticPr fontId="1"/>
  </si>
  <si>
    <r>
      <t>下刈り</t>
    </r>
    <r>
      <rPr>
        <sz val="9"/>
        <color theme="1"/>
        <rFont val="ＭＳ ゴシック"/>
        <family val="3"/>
        <charset val="128"/>
      </rPr>
      <t>（全刈）</t>
    </r>
    <rPh sb="0" eb="2">
      <t>シタガ</t>
    </rPh>
    <rPh sb="4" eb="5">
      <t>ゼン</t>
    </rPh>
    <rPh sb="5" eb="6">
      <t>ガ</t>
    </rPh>
    <phoneticPr fontId="1"/>
  </si>
  <si>
    <t>〈回数による補正〉</t>
    <rPh sb="1" eb="3">
      <t>カイスウ</t>
    </rPh>
    <rPh sb="6" eb="8">
      <t>ホセイ</t>
    </rPh>
    <phoneticPr fontId="1"/>
  </si>
  <si>
    <t>区分</t>
    <rPh sb="0" eb="2">
      <t>クブン</t>
    </rPh>
    <phoneticPr fontId="1"/>
  </si>
  <si>
    <t>年１回全刈りの場合</t>
    <rPh sb="0" eb="1">
      <t>ネン</t>
    </rPh>
    <rPh sb="2" eb="3">
      <t>カイ</t>
    </rPh>
    <rPh sb="3" eb="4">
      <t>ゼン</t>
    </rPh>
    <rPh sb="4" eb="5">
      <t>カ</t>
    </rPh>
    <rPh sb="7" eb="9">
      <t>バアイ</t>
    </rPh>
    <phoneticPr fontId="1"/>
  </si>
  <si>
    <t>年２回全刈</t>
    <rPh sb="0" eb="1">
      <t>ネン</t>
    </rPh>
    <rPh sb="2" eb="3">
      <t>カイ</t>
    </rPh>
    <rPh sb="3" eb="4">
      <t>ゼン</t>
    </rPh>
    <rPh sb="4" eb="5">
      <t>ガ</t>
    </rPh>
    <phoneticPr fontId="1"/>
  </si>
  <si>
    <t>１回目</t>
    <rPh sb="1" eb="3">
      <t>カイメ</t>
    </rPh>
    <phoneticPr fontId="1"/>
  </si>
  <si>
    <t>の場合</t>
    <phoneticPr fontId="1"/>
  </si>
  <si>
    <t>２回目</t>
    <rPh sb="1" eb="3">
      <t>カイメ</t>
    </rPh>
    <phoneticPr fontId="1"/>
  </si>
  <si>
    <t>除伐</t>
    <rPh sb="0" eb="2">
      <t>ジョバツ</t>
    </rPh>
    <phoneticPr fontId="1"/>
  </si>
  <si>
    <t>侵入竹除去</t>
    <rPh sb="0" eb="2">
      <t>シンニュウ</t>
    </rPh>
    <rPh sb="2" eb="3">
      <t>タケ</t>
    </rPh>
    <rPh sb="3" eb="5">
      <t>ジョキョ</t>
    </rPh>
    <phoneticPr fontId="1"/>
  </si>
  <si>
    <r>
      <t>保育間伐</t>
    </r>
    <r>
      <rPr>
        <sz val="10"/>
        <color theme="1"/>
        <rFont val="ＭＳ ゴシック"/>
        <family val="3"/>
        <charset val="128"/>
      </rPr>
      <t>（切捨間伐）</t>
    </r>
    <rPh sb="0" eb="2">
      <t>ホイク</t>
    </rPh>
    <rPh sb="2" eb="4">
      <t>カンバツ</t>
    </rPh>
    <phoneticPr fontId="1"/>
  </si>
  <si>
    <t>枝払</t>
    <rPh sb="0" eb="1">
      <t>エダ</t>
    </rPh>
    <rPh sb="1" eb="2">
      <t>バライ</t>
    </rPh>
    <phoneticPr fontId="1"/>
  </si>
  <si>
    <t>片付</t>
    <rPh sb="0" eb="2">
      <t>カタヅ</t>
    </rPh>
    <phoneticPr fontId="1"/>
  </si>
  <si>
    <t>（選木（伐倒と同時に選木を行う場合は計上不用））</t>
    <rPh sb="1" eb="2">
      <t>セン</t>
    </rPh>
    <rPh sb="2" eb="3">
      <t>ボク</t>
    </rPh>
    <rPh sb="18" eb="20">
      <t>ケイジョウ</t>
    </rPh>
    <phoneticPr fontId="1"/>
  </si>
  <si>
    <t>数量</t>
    <phoneticPr fontId="1"/>
  </si>
  <si>
    <t>数量（定性）</t>
    <rPh sb="0" eb="2">
      <t>スウリョウ</t>
    </rPh>
    <rPh sb="3" eb="5">
      <t>テイセイ</t>
    </rPh>
    <phoneticPr fontId="1"/>
  </si>
  <si>
    <t>数量（列状）</t>
    <rPh sb="0" eb="2">
      <t>スウリョウ</t>
    </rPh>
    <rPh sb="3" eb="4">
      <t>レツ</t>
    </rPh>
    <rPh sb="4" eb="5">
      <t>ジョウ</t>
    </rPh>
    <phoneticPr fontId="1"/>
  </si>
  <si>
    <r>
      <t>間伐</t>
    </r>
    <r>
      <rPr>
        <sz val="11"/>
        <color theme="1"/>
        <rFont val="ＭＳ ゴシック"/>
        <family val="3"/>
        <charset val="128"/>
      </rPr>
      <t>（搬出間伐）</t>
    </r>
    <rPh sb="0" eb="2">
      <t>カンバツ</t>
    </rPh>
    <phoneticPr fontId="1"/>
  </si>
  <si>
    <t>造材（プロセッサまたはハーベスタ）</t>
    <rPh sb="0" eb="2">
      <t>ゾウザイ</t>
    </rPh>
    <phoneticPr fontId="1"/>
  </si>
  <si>
    <t>造材（チェーンソー）</t>
    <rPh sb="0" eb="2">
      <t>ゾウザイ</t>
    </rPh>
    <phoneticPr fontId="1"/>
  </si>
  <si>
    <t>集材（車両系）</t>
    <rPh sb="0" eb="2">
      <t>シュウザイ</t>
    </rPh>
    <rPh sb="3" eb="5">
      <t>シャリョウ</t>
    </rPh>
    <rPh sb="5" eb="6">
      <t>ケイ</t>
    </rPh>
    <phoneticPr fontId="1"/>
  </si>
  <si>
    <t>集材（架線系）</t>
    <rPh sb="0" eb="2">
      <t>シュウザイ</t>
    </rPh>
    <rPh sb="3" eb="5">
      <t>カセン</t>
    </rPh>
    <rPh sb="5" eb="6">
      <t>ケイ</t>
    </rPh>
    <phoneticPr fontId="1"/>
  </si>
  <si>
    <t>平均胸高直径</t>
    <rPh sb="0" eb="2">
      <t>ヘイキン</t>
    </rPh>
    <rPh sb="2" eb="4">
      <t>キョウコウ</t>
    </rPh>
    <rPh sb="4" eb="6">
      <t>チョッケイ</t>
    </rPh>
    <phoneticPr fontId="1"/>
  </si>
  <si>
    <t>0.45m3</t>
    <phoneticPr fontId="1"/>
  </si>
  <si>
    <t>0.28m3</t>
    <phoneticPr fontId="1"/>
  </si>
  <si>
    <t>22cm未満</t>
    <rPh sb="4" eb="6">
      <t>ミマン</t>
    </rPh>
    <phoneticPr fontId="1"/>
  </si>
  <si>
    <t>22cm以上
28cm未満</t>
    <rPh sb="4" eb="6">
      <t>イジョウ</t>
    </rPh>
    <rPh sb="11" eb="13">
      <t>ミマン</t>
    </rPh>
    <phoneticPr fontId="1"/>
  </si>
  <si>
    <t>28cm以上</t>
    <rPh sb="4" eb="6">
      <t>イジョウ</t>
    </rPh>
    <phoneticPr fontId="1"/>
  </si>
  <si>
    <t>人/10ｍ3</t>
    <rPh sb="0" eb="1">
      <t>ニン</t>
    </rPh>
    <phoneticPr fontId="1"/>
  </si>
  <si>
    <t>※0.45m3及び0.28m3は、ベースマシーンの規格</t>
    <rPh sb="7" eb="8">
      <t>オヨ</t>
    </rPh>
    <rPh sb="25" eb="27">
      <t>キカク</t>
    </rPh>
    <phoneticPr fontId="1"/>
  </si>
  <si>
    <t>樹種補正</t>
    <rPh sb="0" eb="2">
      <t>ジュシュ</t>
    </rPh>
    <rPh sb="2" eb="4">
      <t>ホセイ</t>
    </rPh>
    <phoneticPr fontId="1"/>
  </si>
  <si>
    <t>ヒノキ</t>
  </si>
  <si>
    <r>
      <t>衛生伐</t>
    </r>
    <r>
      <rPr>
        <sz val="11"/>
        <color theme="1"/>
        <rFont val="ＭＳ ゴシック"/>
        <family val="3"/>
        <charset val="128"/>
      </rPr>
      <t>（くん蒸）</t>
    </r>
    <rPh sb="0" eb="2">
      <t>エイセイ</t>
    </rPh>
    <rPh sb="2" eb="3">
      <t>バツ</t>
    </rPh>
    <rPh sb="6" eb="7">
      <t>ジョウ</t>
    </rPh>
    <phoneticPr fontId="1"/>
  </si>
  <si>
    <t>海岸</t>
    <rPh sb="0" eb="2">
      <t>カイガン</t>
    </rPh>
    <phoneticPr fontId="1"/>
  </si>
  <si>
    <t>山地</t>
    <rPh sb="0" eb="2">
      <t>サンチ</t>
    </rPh>
    <phoneticPr fontId="1"/>
  </si>
  <si>
    <t>人/1m3</t>
    <rPh sb="0" eb="1">
      <t>ニン</t>
    </rPh>
    <phoneticPr fontId="1"/>
  </si>
  <si>
    <t>造材（プロセッサ0.45）</t>
    <rPh sb="0" eb="2">
      <t>ゾウザイ</t>
    </rPh>
    <phoneticPr fontId="1"/>
  </si>
  <si>
    <t>　樹種割合：</t>
    <rPh sb="1" eb="3">
      <t>ジュシュ</t>
    </rPh>
    <rPh sb="3" eb="5">
      <t>ワリアイ</t>
    </rPh>
    <phoneticPr fontId="1"/>
  </si>
  <si>
    <t>率</t>
    <rPh sb="0" eb="1">
      <t>リツ</t>
    </rPh>
    <phoneticPr fontId="1"/>
  </si>
  <si>
    <t>その他作業</t>
    <rPh sb="2" eb="3">
      <t>タ</t>
    </rPh>
    <rPh sb="3" eb="5">
      <t>サギョウ</t>
    </rPh>
    <phoneticPr fontId="1"/>
  </si>
  <si>
    <t>消さないでください</t>
    <rPh sb="0" eb="1">
      <t>ケ</t>
    </rPh>
    <phoneticPr fontId="1"/>
  </si>
  <si>
    <t>●●地区い林班１小班〇、〇、〇施業班</t>
    <rPh sb="2" eb="4">
      <t>チク</t>
    </rPh>
    <rPh sb="5" eb="6">
      <t>リン</t>
    </rPh>
    <rPh sb="6" eb="7">
      <t>ハン</t>
    </rPh>
    <rPh sb="8" eb="9">
      <t>ショウ</t>
    </rPh>
    <rPh sb="9" eb="10">
      <t>ハン</t>
    </rPh>
    <rPh sb="15" eb="17">
      <t>セギョウ</t>
    </rPh>
    <rPh sb="17" eb="18">
      <t>ハン</t>
    </rPh>
    <phoneticPr fontId="1"/>
  </si>
  <si>
    <t>直接費事業費№1-4</t>
    <rPh sb="0" eb="2">
      <t>チョクセツ</t>
    </rPh>
    <rPh sb="2" eb="3">
      <t>ヒ</t>
    </rPh>
    <rPh sb="3" eb="6">
      <t>ジギョウヒ</t>
    </rPh>
    <phoneticPr fontId="1"/>
  </si>
  <si>
    <t>（1,000円未満切捨）</t>
    <phoneticPr fontId="1"/>
  </si>
  <si>
    <t>直接事業費×共通仮設費率</t>
    <rPh sb="0" eb="2">
      <t>チョクセツ</t>
    </rPh>
    <rPh sb="2" eb="4">
      <t>ジギョウ</t>
    </rPh>
    <rPh sb="4" eb="5">
      <t>ヒ</t>
    </rPh>
    <rPh sb="6" eb="8">
      <t>キョウツウ</t>
    </rPh>
    <rPh sb="8" eb="10">
      <t>カセツ</t>
    </rPh>
    <rPh sb="10" eb="11">
      <t>ヒ</t>
    </rPh>
    <rPh sb="11" eb="12">
      <t>リツ</t>
    </rPh>
    <phoneticPr fontId="1"/>
  </si>
  <si>
    <t>（直接事業費+共通仮設費）×現場管理費率</t>
    <rPh sb="1" eb="3">
      <t>チョクセツ</t>
    </rPh>
    <rPh sb="3" eb="6">
      <t>ジギョウヒ</t>
    </rPh>
    <rPh sb="7" eb="9">
      <t>キョウツウ</t>
    </rPh>
    <rPh sb="9" eb="11">
      <t>カセツ</t>
    </rPh>
    <rPh sb="11" eb="12">
      <t>ヒ</t>
    </rPh>
    <rPh sb="14" eb="16">
      <t>ゲンバ</t>
    </rPh>
    <rPh sb="16" eb="19">
      <t>カンリヒ</t>
    </rPh>
    <rPh sb="19" eb="20">
      <t>リツ</t>
    </rPh>
    <phoneticPr fontId="1"/>
  </si>
  <si>
    <t>（直接事業費+共通仮設費+現場管理費）×一般管理費等率</t>
    <rPh sb="3" eb="5">
      <t>ジギョウ</t>
    </rPh>
    <rPh sb="13" eb="15">
      <t>ゲンバ</t>
    </rPh>
    <rPh sb="15" eb="18">
      <t>カンリヒ</t>
    </rPh>
    <rPh sb="20" eb="22">
      <t>イッパン</t>
    </rPh>
    <rPh sb="22" eb="25">
      <t>カンリヒ</t>
    </rPh>
    <rPh sb="25" eb="26">
      <t>トウ</t>
    </rPh>
    <rPh sb="26" eb="27">
      <t>リツ</t>
    </rPh>
    <phoneticPr fontId="1"/>
  </si>
  <si>
    <t>間接事業費</t>
    <rPh sb="0" eb="2">
      <t>カンセツ</t>
    </rPh>
    <rPh sb="2" eb="4">
      <t>ジギョウ</t>
    </rPh>
    <rPh sb="4" eb="5">
      <t>ヒ</t>
    </rPh>
    <phoneticPr fontId="1"/>
  </si>
  <si>
    <t>搬出間伐条件</t>
    <rPh sb="0" eb="2">
      <t>ハンシュツ</t>
    </rPh>
    <rPh sb="2" eb="4">
      <t>カンバツ</t>
    </rPh>
    <rPh sb="4" eb="6">
      <t>ジョウケン</t>
    </rPh>
    <phoneticPr fontId="1"/>
  </si>
  <si>
    <t>下刈り（全刈）3ha</t>
    <rPh sb="0" eb="2">
      <t>シタガ</t>
    </rPh>
    <rPh sb="4" eb="5">
      <t>ゼン</t>
    </rPh>
    <rPh sb="5" eb="6">
      <t>カリ</t>
    </rPh>
    <phoneticPr fontId="1"/>
  </si>
  <si>
    <t>燃料消費量</t>
    <rPh sb="0" eb="2">
      <t>ネンリョウ</t>
    </rPh>
    <rPh sb="2" eb="4">
      <t>ショウヒ</t>
    </rPh>
    <rPh sb="4" eb="5">
      <t>リョウ</t>
    </rPh>
    <phoneticPr fontId="1"/>
  </si>
  <si>
    <t>プロセッサ0.45</t>
    <phoneticPr fontId="1"/>
  </si>
  <si>
    <t>年間管理費率</t>
    <rPh sb="0" eb="2">
      <t>ネンカン</t>
    </rPh>
    <rPh sb="2" eb="4">
      <t>カンリ</t>
    </rPh>
    <rPh sb="4" eb="5">
      <t>ヒ</t>
    </rPh>
    <rPh sb="5" eb="6">
      <t>リツ</t>
    </rPh>
    <phoneticPr fontId="1"/>
  </si>
  <si>
    <t>燃料消費率</t>
    <rPh sb="0" eb="2">
      <t>ネンリョウ</t>
    </rPh>
    <rPh sb="2" eb="4">
      <t>ショウヒ</t>
    </rPh>
    <rPh sb="4" eb="5">
      <t>リツ</t>
    </rPh>
    <phoneticPr fontId="1"/>
  </si>
  <si>
    <t>機関出力</t>
    <rPh sb="0" eb="2">
      <t>キカン</t>
    </rPh>
    <rPh sb="2" eb="4">
      <t>シュツリョク</t>
    </rPh>
    <phoneticPr fontId="1"/>
  </si>
  <si>
    <t>機械諸雑費</t>
    <rPh sb="0" eb="2">
      <t>キカイ</t>
    </rPh>
    <rPh sb="2" eb="3">
      <t>ショ</t>
    </rPh>
    <rPh sb="3" eb="5">
      <t>ザッピ</t>
    </rPh>
    <phoneticPr fontId="1"/>
  </si>
  <si>
    <t>維持修理費率</t>
    <rPh sb="0" eb="2">
      <t>イジ</t>
    </rPh>
    <rPh sb="2" eb="4">
      <t>シュウリ</t>
    </rPh>
    <rPh sb="4" eb="5">
      <t>ヒ</t>
    </rPh>
    <rPh sb="5" eb="6">
      <t>リツ</t>
    </rPh>
    <phoneticPr fontId="1"/>
  </si>
  <si>
    <t>標準使用年数</t>
    <rPh sb="0" eb="2">
      <t>ヒョウジュン</t>
    </rPh>
    <rPh sb="2" eb="4">
      <t>シヨウ</t>
    </rPh>
    <rPh sb="4" eb="6">
      <t>ネンスウ</t>
    </rPh>
    <phoneticPr fontId="1"/>
  </si>
  <si>
    <t>年間運転日数</t>
    <rPh sb="0" eb="2">
      <t>ネンカン</t>
    </rPh>
    <rPh sb="2" eb="4">
      <t>ウンテン</t>
    </rPh>
    <rPh sb="4" eb="6">
      <t>ニッスウ</t>
    </rPh>
    <phoneticPr fontId="1"/>
  </si>
  <si>
    <t>年間供用日数</t>
    <rPh sb="0" eb="2">
      <t>ネンカン</t>
    </rPh>
    <rPh sb="2" eb="4">
      <t>キョウヨウ</t>
    </rPh>
    <rPh sb="4" eb="6">
      <t>ニッスウ</t>
    </rPh>
    <phoneticPr fontId="1"/>
  </si>
  <si>
    <t>年間運転時間</t>
    <rPh sb="0" eb="2">
      <t>ネンカン</t>
    </rPh>
    <rPh sb="2" eb="4">
      <t>ウンテン</t>
    </rPh>
    <rPh sb="4" eb="6">
      <t>ジカン</t>
    </rPh>
    <phoneticPr fontId="1"/>
  </si>
  <si>
    <t>機械損料</t>
    <rPh sb="0" eb="2">
      <t>キカイ</t>
    </rPh>
    <rPh sb="2" eb="4">
      <t>ソンリョウ</t>
    </rPh>
    <phoneticPr fontId="1"/>
  </si>
  <si>
    <t>※バックホウ</t>
    <phoneticPr fontId="1"/>
  </si>
  <si>
    <t>令和５年度　●●地区 搬出間伐等事業計画書</t>
    <rPh sb="0" eb="1">
      <t>レイ</t>
    </rPh>
    <rPh sb="1" eb="2">
      <t>ワ</t>
    </rPh>
    <rPh sb="3" eb="5">
      <t>ネンド</t>
    </rPh>
    <rPh sb="8" eb="10">
      <t>チク</t>
    </rPh>
    <rPh sb="11" eb="13">
      <t>ハンシュツ</t>
    </rPh>
    <rPh sb="13" eb="15">
      <t>カンバツ</t>
    </rPh>
    <rPh sb="15" eb="16">
      <t>トウ</t>
    </rPh>
    <rPh sb="16" eb="18">
      <t>ジギョウ</t>
    </rPh>
    <rPh sb="18" eb="20">
      <t>ケイカク</t>
    </rPh>
    <rPh sb="20" eb="21">
      <t>ショ</t>
    </rPh>
    <phoneticPr fontId="1"/>
  </si>
  <si>
    <r>
      <t xml:space="preserve">燃料油脂費
</t>
    </r>
    <r>
      <rPr>
        <b/>
        <sz val="8"/>
        <color theme="1"/>
        <rFont val="ＭＳ 明朝"/>
        <family val="1"/>
        <charset val="128"/>
      </rPr>
      <t>（時間当たり）</t>
    </r>
    <rPh sb="0" eb="2">
      <t>ネンリョウ</t>
    </rPh>
    <rPh sb="2" eb="4">
      <t>ユシ</t>
    </rPh>
    <rPh sb="4" eb="5">
      <t>ヒ</t>
    </rPh>
    <rPh sb="7" eb="9">
      <t>ジカン</t>
    </rPh>
    <rPh sb="9" eb="10">
      <t>ア</t>
    </rPh>
    <phoneticPr fontId="1"/>
  </si>
  <si>
    <r>
      <t xml:space="preserve">燃料油脂費
</t>
    </r>
    <r>
      <rPr>
        <b/>
        <sz val="8"/>
        <color theme="1"/>
        <rFont val="ＭＳ 明朝"/>
        <family val="1"/>
        <charset val="128"/>
      </rPr>
      <t>（日当たり）</t>
    </r>
    <rPh sb="0" eb="2">
      <t>ネンリョウ</t>
    </rPh>
    <rPh sb="2" eb="4">
      <t>ユシ</t>
    </rPh>
    <rPh sb="4" eb="5">
      <t>ヒ</t>
    </rPh>
    <rPh sb="7" eb="8">
      <t>ニチ</t>
    </rPh>
    <phoneticPr fontId="1"/>
  </si>
  <si>
    <t>チェーンソー</t>
    <phoneticPr fontId="1"/>
  </si>
  <si>
    <t>搬出間伐作業工程</t>
    <rPh sb="0" eb="2">
      <t>ハンシュツ</t>
    </rPh>
    <rPh sb="2" eb="4">
      <t>カンバツ</t>
    </rPh>
    <rPh sb="4" eb="6">
      <t>サギョウ</t>
    </rPh>
    <rPh sb="6" eb="8">
      <t>コウテイ</t>
    </rPh>
    <phoneticPr fontId="1"/>
  </si>
  <si>
    <t>列状</t>
    <rPh sb="0" eb="1">
      <t>レツ</t>
    </rPh>
    <rPh sb="1" eb="2">
      <t>ジョウ</t>
    </rPh>
    <phoneticPr fontId="1"/>
  </si>
  <si>
    <t>森林作業道作設</t>
    <rPh sb="0" eb="2">
      <t>シンリン</t>
    </rPh>
    <rPh sb="2" eb="4">
      <t>サギョウ</t>
    </rPh>
    <rPh sb="4" eb="5">
      <t>ドウ</t>
    </rPh>
    <rPh sb="5" eb="6">
      <t>サク</t>
    </rPh>
    <rPh sb="6" eb="7">
      <t>セツ</t>
    </rPh>
    <phoneticPr fontId="1"/>
  </si>
  <si>
    <t>地山の掘削</t>
    <rPh sb="0" eb="2">
      <t>ジヤマ</t>
    </rPh>
    <rPh sb="3" eb="5">
      <t>クッサク</t>
    </rPh>
    <phoneticPr fontId="1"/>
  </si>
  <si>
    <t>制限あり</t>
    <rPh sb="0" eb="2">
      <t>セイゲン</t>
    </rPh>
    <phoneticPr fontId="1"/>
  </si>
  <si>
    <t>砂・砂質土・粘性土・礫質土</t>
    <rPh sb="0" eb="1">
      <t>スナ</t>
    </rPh>
    <rPh sb="2" eb="3">
      <t>スナ</t>
    </rPh>
    <rPh sb="3" eb="4">
      <t>シツ</t>
    </rPh>
    <rPh sb="4" eb="5">
      <t>ツチ</t>
    </rPh>
    <rPh sb="6" eb="9">
      <t>ネンセイド</t>
    </rPh>
    <rPh sb="10" eb="13">
      <t>レキシツド</t>
    </rPh>
    <phoneticPr fontId="1"/>
  </si>
  <si>
    <t>ブルドーザー敷均し締固め１時間当たり作業量</t>
    <rPh sb="6" eb="7">
      <t>シ</t>
    </rPh>
    <rPh sb="7" eb="8">
      <t>ナラ</t>
    </rPh>
    <rPh sb="9" eb="11">
      <t>シメカタ</t>
    </rPh>
    <rPh sb="13" eb="15">
      <t>ジカン</t>
    </rPh>
    <rPh sb="15" eb="16">
      <t>ア</t>
    </rPh>
    <rPh sb="18" eb="20">
      <t>サギョウ</t>
    </rPh>
    <rPh sb="20" eb="21">
      <t>リョウ</t>
    </rPh>
    <phoneticPr fontId="1"/>
  </si>
  <si>
    <t>規格</t>
    <rPh sb="0" eb="2">
      <t>キカク</t>
    </rPh>
    <phoneticPr fontId="1"/>
  </si>
  <si>
    <t>11t級</t>
    <rPh sb="3" eb="4">
      <t>キュウ</t>
    </rPh>
    <phoneticPr fontId="1"/>
  </si>
  <si>
    <t>敷均し締固め合成作業</t>
    <rPh sb="0" eb="1">
      <t>シ</t>
    </rPh>
    <rPh sb="1" eb="2">
      <t>ナラ</t>
    </rPh>
    <rPh sb="3" eb="5">
      <t>シメカタ</t>
    </rPh>
    <rPh sb="6" eb="8">
      <t>ゴウセイ</t>
    </rPh>
    <rPh sb="8" eb="10">
      <t>サギョウ</t>
    </rPh>
    <phoneticPr fontId="1"/>
  </si>
  <si>
    <t>直接費事業費№1-5</t>
    <rPh sb="0" eb="2">
      <t>チョクセツ</t>
    </rPh>
    <rPh sb="2" eb="3">
      <t>ヒ</t>
    </rPh>
    <rPh sb="3" eb="6">
      <t>ジギョウヒ</t>
    </rPh>
    <phoneticPr fontId="1"/>
  </si>
  <si>
    <t>森林作業道作設（ｍ）</t>
    <rPh sb="0" eb="2">
      <t>シンリン</t>
    </rPh>
    <rPh sb="2" eb="4">
      <t>サギョウ</t>
    </rPh>
    <rPh sb="4" eb="5">
      <t>ドウ</t>
    </rPh>
    <rPh sb="5" eb="6">
      <t>サク</t>
    </rPh>
    <rPh sb="6" eb="7">
      <t>セツ</t>
    </rPh>
    <phoneticPr fontId="1"/>
  </si>
  <si>
    <t>作設距離</t>
    <rPh sb="0" eb="1">
      <t>サク</t>
    </rPh>
    <rPh sb="1" eb="2">
      <t>セツ</t>
    </rPh>
    <rPh sb="2" eb="4">
      <t>キョリ</t>
    </rPh>
    <phoneticPr fontId="1"/>
  </si>
  <si>
    <t>ｍ</t>
    <phoneticPr fontId="1"/>
  </si>
  <si>
    <t>人/100ｍ</t>
    <rPh sb="0" eb="1">
      <t>ニン</t>
    </rPh>
    <phoneticPr fontId="1"/>
  </si>
  <si>
    <t>敷均し機械補助労務</t>
    <rPh sb="0" eb="2">
      <t>シキナラ</t>
    </rPh>
    <rPh sb="3" eb="5">
      <t>キカイ</t>
    </rPh>
    <rPh sb="5" eb="7">
      <t>ホジョ</t>
    </rPh>
    <rPh sb="7" eb="9">
      <t>ロウム</t>
    </rPh>
    <phoneticPr fontId="1"/>
  </si>
  <si>
    <t>100ｍ当たりの工程</t>
    <rPh sb="4" eb="5">
      <t>ア</t>
    </rPh>
    <rPh sb="8" eb="10">
      <t>コウテイ</t>
    </rPh>
    <phoneticPr fontId="1"/>
  </si>
  <si>
    <t>地山掘削</t>
    <rPh sb="0" eb="2">
      <t>ジヤマ</t>
    </rPh>
    <rPh sb="2" eb="4">
      <t>クッサク</t>
    </rPh>
    <phoneticPr fontId="1"/>
  </si>
  <si>
    <t>標準切土</t>
    <rPh sb="0" eb="2">
      <t>ヒョウジュン</t>
    </rPh>
    <rPh sb="2" eb="4">
      <t>キリド</t>
    </rPh>
    <phoneticPr fontId="1"/>
  </si>
  <si>
    <t>標準盛土</t>
    <rPh sb="0" eb="2">
      <t>ヒョウジュン</t>
    </rPh>
    <rPh sb="2" eb="4">
      <t>モリド</t>
    </rPh>
    <phoneticPr fontId="1"/>
  </si>
  <si>
    <t>基礎価格</t>
    <rPh sb="0" eb="2">
      <t>キソ</t>
    </rPh>
    <rPh sb="2" eb="4">
      <t>カカク</t>
    </rPh>
    <phoneticPr fontId="1"/>
  </si>
  <si>
    <t>バックホウ0.45</t>
    <phoneticPr fontId="1"/>
  </si>
  <si>
    <t>※バックホウ（クローラー型）標準型・排出ガス対策型（第３次基準値）</t>
    <rPh sb="14" eb="16">
      <t>ヒョウジュン</t>
    </rPh>
    <rPh sb="26" eb="27">
      <t>ダイ</t>
    </rPh>
    <rPh sb="28" eb="29">
      <t>ジ</t>
    </rPh>
    <rPh sb="29" eb="32">
      <t>キジュンチ</t>
    </rPh>
    <phoneticPr fontId="1"/>
  </si>
  <si>
    <t>10,000m3未満</t>
    <rPh sb="8" eb="10">
      <t>ミマン</t>
    </rPh>
    <phoneticPr fontId="1"/>
  </si>
  <si>
    <t>障害あり
(根株等)</t>
    <rPh sb="0" eb="2">
      <t>ショウガイ</t>
    </rPh>
    <rPh sb="6" eb="8">
      <t>ネカブ</t>
    </rPh>
    <rPh sb="8" eb="9">
      <t>トウ</t>
    </rPh>
    <phoneticPr fontId="1"/>
  </si>
  <si>
    <t>適用勾配</t>
    <rPh sb="0" eb="2">
      <t>テキヨウ</t>
    </rPh>
    <rPh sb="2" eb="4">
      <t>コウバイ</t>
    </rPh>
    <phoneticPr fontId="1"/>
  </si>
  <si>
    <t>積算勾配</t>
    <rPh sb="0" eb="2">
      <t>セキサン</t>
    </rPh>
    <rPh sb="2" eb="4">
      <t>コウバイ</t>
    </rPh>
    <phoneticPr fontId="1"/>
  </si>
  <si>
    <t>10°</t>
    <phoneticPr fontId="1"/>
  </si>
  <si>
    <t>20°</t>
    <phoneticPr fontId="1"/>
  </si>
  <si>
    <t>25°</t>
    <phoneticPr fontId="1"/>
  </si>
  <si>
    <t>ブルドーザー</t>
    <phoneticPr fontId="1"/>
  </si>
  <si>
    <t>※普通・排出ガス対策型（第１次基準値）11ton級</t>
    <rPh sb="1" eb="3">
      <t>フツウ</t>
    </rPh>
    <rPh sb="12" eb="13">
      <t>ダイ</t>
    </rPh>
    <rPh sb="14" eb="15">
      <t>ジ</t>
    </rPh>
    <rPh sb="15" eb="18">
      <t>キジュンチ</t>
    </rPh>
    <rPh sb="24" eb="25">
      <t>キュウ</t>
    </rPh>
    <phoneticPr fontId="1"/>
  </si>
  <si>
    <t>※ブルドーザー</t>
    <phoneticPr fontId="1"/>
  </si>
  <si>
    <r>
      <t xml:space="preserve">換算値　損料
</t>
    </r>
    <r>
      <rPr>
        <b/>
        <sz val="9"/>
        <color theme="1"/>
        <rFont val="ＭＳ 明朝"/>
        <family val="1"/>
        <charset val="128"/>
      </rPr>
      <t>（運転１時間当たり）</t>
    </r>
    <rPh sb="0" eb="1">
      <t>カン</t>
    </rPh>
    <rPh sb="1" eb="2">
      <t>ザン</t>
    </rPh>
    <rPh sb="2" eb="3">
      <t>チ</t>
    </rPh>
    <rPh sb="4" eb="6">
      <t>ソンリョウ</t>
    </rPh>
    <rPh sb="8" eb="10">
      <t>ウンテン</t>
    </rPh>
    <rPh sb="11" eb="13">
      <t>ジカン</t>
    </rPh>
    <rPh sb="13" eb="14">
      <t>ア</t>
    </rPh>
    <phoneticPr fontId="1"/>
  </si>
  <si>
    <t>15°未満</t>
    <rPh sb="3" eb="5">
      <t>ミマン</t>
    </rPh>
    <phoneticPr fontId="1"/>
  </si>
  <si>
    <t>25°以上</t>
    <rPh sb="3" eb="5">
      <t>イジョウ</t>
    </rPh>
    <phoneticPr fontId="1"/>
  </si>
  <si>
    <t>15°以下
25°未満</t>
    <rPh sb="3" eb="5">
      <t>イカ</t>
    </rPh>
    <rPh sb="9" eb="11">
      <t>ミマン</t>
    </rPh>
    <phoneticPr fontId="1"/>
  </si>
  <si>
    <t>残存率</t>
    <rPh sb="0" eb="3">
      <t>ザンゾンリツ</t>
    </rPh>
    <phoneticPr fontId="1"/>
  </si>
  <si>
    <t>搬出区域面積（ha）</t>
    <rPh sb="0" eb="2">
      <t>ハンシュツ</t>
    </rPh>
    <rPh sb="2" eb="4">
      <t>クイキ</t>
    </rPh>
    <rPh sb="4" eb="6">
      <t>メンセキ</t>
    </rPh>
    <phoneticPr fontId="1"/>
  </si>
  <si>
    <t>搬出区域平均傾斜（°）</t>
    <rPh sb="0" eb="2">
      <t>ハンシュツ</t>
    </rPh>
    <rPh sb="2" eb="4">
      <t>クイキ</t>
    </rPh>
    <rPh sb="4" eb="6">
      <t>ヘイキン</t>
    </rPh>
    <rPh sb="6" eb="8">
      <t>ケイシャ</t>
    </rPh>
    <phoneticPr fontId="1"/>
  </si>
  <si>
    <t>地山の掘削、敷均し締固め</t>
    <rPh sb="0" eb="2">
      <t>ジヤマ</t>
    </rPh>
    <rPh sb="3" eb="5">
      <t>クッサク</t>
    </rPh>
    <rPh sb="6" eb="8">
      <t>シキナラ</t>
    </rPh>
    <rPh sb="9" eb="11">
      <t>シメカタ</t>
    </rPh>
    <phoneticPr fontId="1"/>
  </si>
  <si>
    <t>敷き均し締固め</t>
    <rPh sb="4" eb="6">
      <t>シメカタ</t>
    </rPh>
    <phoneticPr fontId="1"/>
  </si>
  <si>
    <t>機械運転単価表（指定事項）</t>
    <rPh sb="0" eb="2">
      <t>キカイ</t>
    </rPh>
    <rPh sb="2" eb="4">
      <t>ウンテン</t>
    </rPh>
    <rPh sb="4" eb="6">
      <t>タンカ</t>
    </rPh>
    <rPh sb="6" eb="7">
      <t>ヒョウ</t>
    </rPh>
    <rPh sb="8" eb="10">
      <t>シテイ</t>
    </rPh>
    <rPh sb="10" eb="12">
      <t>ジコウ</t>
    </rPh>
    <phoneticPr fontId="1"/>
  </si>
  <si>
    <t>運転労務数量</t>
    <rPh sb="0" eb="2">
      <t>ウンテン</t>
    </rPh>
    <rPh sb="2" eb="4">
      <t>ロウム</t>
    </rPh>
    <rPh sb="4" eb="6">
      <t>スウリョウ</t>
    </rPh>
    <phoneticPr fontId="1"/>
  </si>
  <si>
    <t>燃料消費量</t>
    <rPh sb="0" eb="2">
      <t>ネンリョウ</t>
    </rPh>
    <rPh sb="2" eb="5">
      <t>ショウヒリョウ</t>
    </rPh>
    <phoneticPr fontId="1"/>
  </si>
  <si>
    <t>機械損料数量</t>
    <rPh sb="0" eb="2">
      <t>キカイ</t>
    </rPh>
    <rPh sb="2" eb="4">
      <t>ソンリョウ</t>
    </rPh>
    <rPh sb="4" eb="6">
      <t>スウリョウ</t>
    </rPh>
    <phoneticPr fontId="1"/>
  </si>
  <si>
    <r>
      <t xml:space="preserve">換算値　損料率
</t>
    </r>
    <r>
      <rPr>
        <b/>
        <sz val="9"/>
        <color theme="1"/>
        <rFont val="ＭＳ 明朝"/>
        <family val="1"/>
        <charset val="128"/>
      </rPr>
      <t>（運転１時間当たり）</t>
    </r>
    <rPh sb="0" eb="1">
      <t>カン</t>
    </rPh>
    <rPh sb="1" eb="2">
      <t>ザン</t>
    </rPh>
    <rPh sb="2" eb="3">
      <t>チ</t>
    </rPh>
    <rPh sb="4" eb="6">
      <t>ソンリョウ</t>
    </rPh>
    <rPh sb="6" eb="7">
      <t>リツ</t>
    </rPh>
    <phoneticPr fontId="1"/>
  </si>
  <si>
    <r>
      <t xml:space="preserve">換算値　損料率
</t>
    </r>
    <r>
      <rPr>
        <b/>
        <sz val="9"/>
        <color theme="1"/>
        <rFont val="ＭＳ 明朝"/>
        <family val="1"/>
        <charset val="128"/>
      </rPr>
      <t>（供用1日当たり）</t>
    </r>
    <rPh sb="0" eb="1">
      <t>カン</t>
    </rPh>
    <rPh sb="1" eb="2">
      <t>ザン</t>
    </rPh>
    <rPh sb="2" eb="3">
      <t>チ</t>
    </rPh>
    <rPh sb="4" eb="6">
      <t>ソンリョウ</t>
    </rPh>
    <rPh sb="6" eb="7">
      <t>リツ</t>
    </rPh>
    <rPh sb="9" eb="11">
      <t>キョウヨウ</t>
    </rPh>
    <rPh sb="12" eb="13">
      <t>ニチ</t>
    </rPh>
    <phoneticPr fontId="1"/>
  </si>
  <si>
    <r>
      <t xml:space="preserve">換算値　損料
</t>
    </r>
    <r>
      <rPr>
        <b/>
        <sz val="9"/>
        <color theme="1"/>
        <rFont val="ＭＳ 明朝"/>
        <family val="1"/>
        <charset val="128"/>
      </rPr>
      <t>（供用1日当たり）</t>
    </r>
    <rPh sb="0" eb="1">
      <t>カン</t>
    </rPh>
    <rPh sb="1" eb="2">
      <t>ザン</t>
    </rPh>
    <rPh sb="2" eb="3">
      <t>チ</t>
    </rPh>
    <rPh sb="4" eb="6">
      <t>ソンリョウ</t>
    </rPh>
    <rPh sb="8" eb="10">
      <t>キョウヨウ</t>
    </rPh>
    <rPh sb="11" eb="12">
      <t>ニチ</t>
    </rPh>
    <rPh sb="12" eb="13">
      <t>ア</t>
    </rPh>
    <phoneticPr fontId="1"/>
  </si>
  <si>
    <t>運転労務</t>
    <rPh sb="0" eb="2">
      <t>ウンテン</t>
    </rPh>
    <rPh sb="2" eb="4">
      <t>ロウム</t>
    </rPh>
    <phoneticPr fontId="1"/>
  </si>
  <si>
    <t>敷き均し締固め</t>
    <rPh sb="0" eb="1">
      <t>シ</t>
    </rPh>
    <rPh sb="2" eb="3">
      <t>ナラ</t>
    </rPh>
    <rPh sb="4" eb="6">
      <t>シメカタ</t>
    </rPh>
    <phoneticPr fontId="1"/>
  </si>
  <si>
    <t>日数</t>
    <rPh sb="0" eb="2">
      <t>ニッスウ</t>
    </rPh>
    <phoneticPr fontId="1"/>
  </si>
  <si>
    <t>円/100ｍ</t>
    <rPh sb="0" eb="1">
      <t>エン</t>
    </rPh>
    <phoneticPr fontId="1"/>
  </si>
  <si>
    <t>諸雑費</t>
    <phoneticPr fontId="1"/>
  </si>
  <si>
    <t>（燃料＋損料）</t>
    <rPh sb="1" eb="3">
      <t>ネンリョウ</t>
    </rPh>
    <rPh sb="4" eb="6">
      <t>ソンリョウ</t>
    </rPh>
    <phoneticPr fontId="1"/>
  </si>
  <si>
    <t>補助人員</t>
    <rPh sb="0" eb="2">
      <t>ホジョ</t>
    </rPh>
    <rPh sb="2" eb="4">
      <t>ジンイン</t>
    </rPh>
    <phoneticPr fontId="1"/>
  </si>
  <si>
    <t>敷均し補助労務</t>
    <rPh sb="0" eb="2">
      <t>シキナラ</t>
    </rPh>
    <rPh sb="3" eb="5">
      <t>ホジョ</t>
    </rPh>
    <rPh sb="5" eb="7">
      <t>ロウム</t>
    </rPh>
    <phoneticPr fontId="1"/>
  </si>
  <si>
    <t>作業</t>
    <rPh sb="0" eb="2">
      <t>サギョウ</t>
    </rPh>
    <phoneticPr fontId="1"/>
  </si>
  <si>
    <t>敷均し</t>
    <rPh sb="0" eb="2">
      <t>シキナラ</t>
    </rPh>
    <phoneticPr fontId="1"/>
  </si>
  <si>
    <t>工種</t>
    <rPh sb="0" eb="2">
      <t>コウシュ</t>
    </rPh>
    <phoneticPr fontId="1"/>
  </si>
  <si>
    <t>路体</t>
    <rPh sb="0" eb="2">
      <t>ロタイ</t>
    </rPh>
    <phoneticPr fontId="1"/>
  </si>
  <si>
    <r>
      <t xml:space="preserve">損料率
</t>
    </r>
    <r>
      <rPr>
        <b/>
        <sz val="9"/>
        <color theme="1"/>
        <rFont val="ＭＳ 明朝"/>
        <family val="1"/>
        <charset val="128"/>
      </rPr>
      <t>（運転１時間当たり）</t>
    </r>
    <rPh sb="0" eb="2">
      <t>ソンリョウ</t>
    </rPh>
    <rPh sb="2" eb="3">
      <t>リツ</t>
    </rPh>
    <phoneticPr fontId="1"/>
  </si>
  <si>
    <r>
      <t xml:space="preserve">損料
</t>
    </r>
    <r>
      <rPr>
        <b/>
        <sz val="9"/>
        <color theme="1"/>
        <rFont val="ＭＳ 明朝"/>
        <family val="1"/>
        <charset val="128"/>
      </rPr>
      <t>（運転１時間当たり）</t>
    </r>
    <rPh sb="0" eb="2">
      <t>ソンリョウ</t>
    </rPh>
    <rPh sb="4" eb="6">
      <t>ウンテン</t>
    </rPh>
    <rPh sb="7" eb="9">
      <t>ジカン</t>
    </rPh>
    <rPh sb="9" eb="10">
      <t>ア</t>
    </rPh>
    <phoneticPr fontId="1"/>
  </si>
  <si>
    <t>定性</t>
    <rPh sb="0" eb="2">
      <t>テイセイ</t>
    </rPh>
    <phoneticPr fontId="1"/>
  </si>
  <si>
    <t>定性・列状</t>
    <rPh sb="0" eb="2">
      <t>テイセイ</t>
    </rPh>
    <rPh sb="3" eb="4">
      <t>レツ</t>
    </rPh>
    <rPh sb="4" eb="5">
      <t>ジョウ</t>
    </rPh>
    <phoneticPr fontId="1"/>
  </si>
  <si>
    <t>荒廃竹林整備</t>
    <rPh sb="0" eb="2">
      <t>コウハイ</t>
    </rPh>
    <rPh sb="2" eb="4">
      <t>チクリン</t>
    </rPh>
    <rPh sb="4" eb="6">
      <t>セイビ</t>
    </rPh>
    <phoneticPr fontId="1"/>
  </si>
  <si>
    <t>搬出間伐及び下刈り、荒廃竹林整備事業</t>
    <rPh sb="0" eb="2">
      <t>ハンシュツ</t>
    </rPh>
    <rPh sb="2" eb="4">
      <t>カンバツ</t>
    </rPh>
    <rPh sb="4" eb="5">
      <t>オヨ</t>
    </rPh>
    <rPh sb="6" eb="8">
      <t>シタガ</t>
    </rPh>
    <rPh sb="10" eb="12">
      <t>コウハイ</t>
    </rPh>
    <rPh sb="12" eb="14">
      <t>チクリン</t>
    </rPh>
    <rPh sb="14" eb="16">
      <t>セイビ</t>
    </rPh>
    <rPh sb="16" eb="18">
      <t>ジギョウ</t>
    </rPh>
    <phoneticPr fontId="1"/>
  </si>
  <si>
    <t>荒廃竹林整備300本</t>
    <rPh sb="0" eb="2">
      <t>コウハイ</t>
    </rPh>
    <rPh sb="2" eb="4">
      <t>チクリン</t>
    </rPh>
    <rPh sb="4" eb="6">
      <t>セイビ</t>
    </rPh>
    <rPh sb="9" eb="10">
      <t>ホン</t>
    </rPh>
    <phoneticPr fontId="1"/>
  </si>
  <si>
    <t>下刈り、荒廃竹林整備</t>
    <rPh sb="0" eb="2">
      <t>シタガ</t>
    </rPh>
    <rPh sb="4" eb="6">
      <t>コウハイ</t>
    </rPh>
    <rPh sb="6" eb="8">
      <t>チクリン</t>
    </rPh>
    <rPh sb="8" eb="10">
      <t>セイビ</t>
    </rPh>
    <phoneticPr fontId="1"/>
  </si>
  <si>
    <t>前払金</t>
    <rPh sb="0" eb="2">
      <t>マエバラ</t>
    </rPh>
    <rPh sb="2" eb="3">
      <t>キン</t>
    </rPh>
    <phoneticPr fontId="1"/>
  </si>
  <si>
    <t>対象としない</t>
    <rPh sb="0" eb="2">
      <t>タイショウ</t>
    </rPh>
    <phoneticPr fontId="1"/>
  </si>
  <si>
    <t>※ 本表は、主索を用いて行う架線系集材（主索を用いずに複数の作業索を用いて行う</t>
    <phoneticPr fontId="1"/>
  </si>
  <si>
    <t>ついては、伐倒作業後に、枝条・竹を集積して、固定又は整理する作業（竹の切断</t>
  </si>
  <si>
    <t>※ 本表は、荒廃竹林において、竹をすべて伐倒し片付ける作業に適用する。片付けに</t>
    <phoneticPr fontId="1"/>
  </si>
  <si>
    <t>※ 諸雑費は、チェーンソーの損料、燃料代等の費用であり、労務費の合計額に上表の</t>
    <phoneticPr fontId="1"/>
  </si>
  <si>
    <t>令和５年３月</t>
    <rPh sb="0" eb="2">
      <t>レイワ</t>
    </rPh>
    <rPh sb="3" eb="4">
      <t>ネン</t>
    </rPh>
    <rPh sb="5" eb="6">
      <t>ガツ</t>
    </rPh>
    <phoneticPr fontId="1"/>
  </si>
  <si>
    <t>森林環境保全直接支援事業　特定森林再生事業　標準作業工程（林野庁整備課）</t>
    <rPh sb="0" eb="2">
      <t>シンリン</t>
    </rPh>
    <rPh sb="2" eb="4">
      <t>カンキョウ</t>
    </rPh>
    <rPh sb="4" eb="6">
      <t>ホゼン</t>
    </rPh>
    <rPh sb="6" eb="8">
      <t>チョクセツ</t>
    </rPh>
    <rPh sb="8" eb="10">
      <t>シエン</t>
    </rPh>
    <rPh sb="10" eb="12">
      <t>ジギョウ</t>
    </rPh>
    <rPh sb="13" eb="15">
      <t>トクテイ</t>
    </rPh>
    <rPh sb="15" eb="17">
      <t>シンリン</t>
    </rPh>
    <rPh sb="17" eb="19">
      <t>サイセイ</t>
    </rPh>
    <rPh sb="19" eb="21">
      <t>ジギョウ</t>
    </rPh>
    <rPh sb="22" eb="24">
      <t>ヒョウジュン</t>
    </rPh>
    <rPh sb="24" eb="26">
      <t>サギョウ</t>
    </rPh>
    <rPh sb="26" eb="28">
      <t>コウテイ</t>
    </rPh>
    <rPh sb="29" eb="32">
      <t>リンヤチョウ</t>
    </rPh>
    <rPh sb="32" eb="34">
      <t>セイビ</t>
    </rPh>
    <rPh sb="34" eb="35">
      <t>カ</t>
    </rPh>
    <phoneticPr fontId="1"/>
  </si>
  <si>
    <t>※積卸しを含む</t>
    <rPh sb="1" eb="3">
      <t>ツミオロシ</t>
    </rPh>
    <rPh sb="5" eb="6">
      <t>フク</t>
    </rPh>
    <phoneticPr fontId="1"/>
  </si>
  <si>
    <t>※ 刈り払い機による振動業務の作業時間は、１人１日当たり２時間以内（振動業務の一連続作業時間ごとに設ける休止時間を除く）として計上</t>
    <phoneticPr fontId="1"/>
  </si>
  <si>
    <t>※本歩掛は、全木集材（皆伐）直後の地拵えに適用</t>
    <rPh sb="1" eb="2">
      <t>ホン</t>
    </rPh>
    <rPh sb="2" eb="4">
      <t>ブガカリ</t>
    </rPh>
    <rPh sb="6" eb="7">
      <t>ゼン</t>
    </rPh>
    <rPh sb="7" eb="8">
      <t>ボク</t>
    </rPh>
    <rPh sb="8" eb="10">
      <t>シュウザイ</t>
    </rPh>
    <rPh sb="11" eb="13">
      <t>カイバツ</t>
    </rPh>
    <rPh sb="14" eb="16">
      <t>チョクゴ</t>
    </rPh>
    <rPh sb="17" eb="19">
      <t>ジゴシラ</t>
    </rPh>
    <rPh sb="21" eb="23">
      <t>テキヨウ</t>
    </rPh>
    <phoneticPr fontId="1"/>
  </si>
  <si>
    <t>※　諸雑費は、刈り払い機の損料、燃料、替刃、目立用ヤスリ並びに下刈鎌の損料及び砥石の費用であり、労務費の合計額に上表の率を乗じた金額を計上</t>
    <phoneticPr fontId="1"/>
  </si>
  <si>
    <t>※ 保育間伐、間伐、更新伐として主に侵入竹の除去を行う場合は、本表を準用</t>
    <phoneticPr fontId="1"/>
  </si>
  <si>
    <t>※ 主に侵入した竹を伐倒して片付ける作業に適用。片付けは、伐倒後に、枝条・竹を集積して、固定又は整理する作業（竹の切断作業等を含む）。</t>
    <phoneticPr fontId="1"/>
  </si>
  <si>
    <t>※ 諸雑費は、チェーンソーの損料、燃料代等の費用であり、労務費の合計額に上表の率を乗じた金額を計上</t>
    <phoneticPr fontId="1"/>
  </si>
  <si>
    <t>※ チェーンソーによる振動業務の作業時間は、１人１日当たり２時間以内（振動業務の一連続作業時間ごとに設ける休止時間を除く）として計上。</t>
    <phoneticPr fontId="1"/>
  </si>
  <si>
    <t>※ 諸雑費は、チェーンソーの損料、燃料及びチェーンオイル等の伐倒に必要な機械器具の使用に要する費用であり、労務費の合計額に上表の率を乗じた金額を計上。</t>
    <phoneticPr fontId="1"/>
  </si>
  <si>
    <t>地拵え（一貫作業システム：グラップル）</t>
    <rPh sb="0" eb="2">
      <t>ジゴシラ</t>
    </rPh>
    <rPh sb="4" eb="6">
      <t>イッカン</t>
    </rPh>
    <rPh sb="6" eb="8">
      <t>サギョウ</t>
    </rPh>
    <phoneticPr fontId="1"/>
  </si>
  <si>
    <t>※ 伐倒木を丸太に玉切る作業及び丸太を片付ける作業の支障とならないように枝払いする工程に適用。</t>
    <phoneticPr fontId="1"/>
  </si>
  <si>
    <t>※ 伐倒及び枝払した材を小運搬及び集積できるように、一定の長さの丸太に玉切る工程に適用。</t>
    <phoneticPr fontId="1"/>
  </si>
  <si>
    <t>※ 玉切した丸太を水平方向に並べ、転落、流出しないように集積又は固定し整理する工程（20ｍ程度の小運搬を含む。）に適用。</t>
    <phoneticPr fontId="1"/>
  </si>
  <si>
    <t>※ 諸雑費は、チェーンソーの損料、燃料及びチェーンオイル等の伐倒に必要な機械器具の使用に要する費用であり、労務費の合計額に上表の率を乗じた金額を計上</t>
    <phoneticPr fontId="1"/>
  </si>
  <si>
    <t>※機械損料、燃料費を積み上げにより計上</t>
    <rPh sb="1" eb="3">
      <t>キカイ</t>
    </rPh>
    <rPh sb="3" eb="5">
      <t>ソンリョウ</t>
    </rPh>
    <rPh sb="6" eb="9">
      <t>ネンリョウヒ</t>
    </rPh>
    <rPh sb="10" eb="11">
      <t>ツ</t>
    </rPh>
    <rPh sb="12" eb="13">
      <t>ア</t>
    </rPh>
    <rPh sb="17" eb="19">
      <t>ケイジョウ</t>
    </rPh>
    <phoneticPr fontId="1"/>
  </si>
  <si>
    <r>
      <t>下刈り</t>
    </r>
    <r>
      <rPr>
        <sz val="9"/>
        <rFont val="ＭＳ 明朝"/>
        <family val="3"/>
        <charset val="128"/>
      </rPr>
      <t>（全刈）</t>
    </r>
    <rPh sb="0" eb="2">
      <t>シタガ</t>
    </rPh>
    <rPh sb="4" eb="5">
      <t>ゼン</t>
    </rPh>
    <rPh sb="5" eb="6">
      <t>ガ</t>
    </rPh>
    <phoneticPr fontId="1"/>
  </si>
  <si>
    <r>
      <t>下刈り</t>
    </r>
    <r>
      <rPr>
        <sz val="9"/>
        <rFont val="ＭＳ 明朝"/>
        <family val="3"/>
        <charset val="128"/>
      </rPr>
      <t>（筋刈）</t>
    </r>
    <rPh sb="0" eb="2">
      <t>シタガ</t>
    </rPh>
    <rPh sb="4" eb="5">
      <t>スジ</t>
    </rPh>
    <rPh sb="5" eb="6">
      <t>ガ</t>
    </rPh>
    <phoneticPr fontId="1"/>
  </si>
  <si>
    <r>
      <t>衛生伐</t>
    </r>
    <r>
      <rPr>
        <sz val="11"/>
        <rFont val="ＭＳ ゴシック"/>
        <family val="3"/>
        <charset val="128"/>
      </rPr>
      <t>（くん蒸）</t>
    </r>
    <rPh sb="0" eb="2">
      <t>エイセイ</t>
    </rPh>
    <rPh sb="2" eb="3">
      <t>バツ</t>
    </rPh>
    <rPh sb="6" eb="7">
      <t>ジョウ</t>
    </rPh>
    <phoneticPr fontId="1"/>
  </si>
  <si>
    <t>※ 対象木を伐倒し、細断した丸太・枝条等を集積して、シートで包んで薬剤によりくん蒸を行う作業に適用</t>
    <phoneticPr fontId="1"/>
  </si>
  <si>
    <t>※ 材積は、くん蒸を行う丸太・枝条等の総材積とする。</t>
    <phoneticPr fontId="1"/>
  </si>
  <si>
    <t>※ シートの除去は含まれていないので、必要な場合は、軽作業員0.10人を加算</t>
    <phoneticPr fontId="1"/>
  </si>
  <si>
    <t>※ 諸雑費は、チェーンソーの損料及び燃料等の費用であり、労務費の合計額に上表の率を乗じた金額を計上</t>
    <phoneticPr fontId="1"/>
  </si>
  <si>
    <t>作業等を含む）</t>
    <phoneticPr fontId="1"/>
  </si>
  <si>
    <t>率を乗じた金額を計上</t>
    <phoneticPr fontId="1"/>
  </si>
  <si>
    <t>※ 本表は、車輌系機械による集材の工程及び集造材地点までの木寄せ等の工程に適用</t>
    <phoneticPr fontId="1"/>
  </si>
  <si>
    <t>※ 諸雑費は、集材に必要な機械器具の損料及び燃料の費用であり、労務費の合計額に上表の率を乗じた金額を上限として計上</t>
    <phoneticPr fontId="1"/>
  </si>
  <si>
    <t>※ 諸雑費の内訳は、機械器具の損料63％及び燃料の費用14％とし、機械器具の損料の内訳は、償却費23％、維持修理費17％及び管理費23％</t>
    <phoneticPr fontId="1"/>
  </si>
  <si>
    <t>簡易架線集材を含む）の工程及び集材地点までの木寄せ等の工程に適用</t>
    <phoneticPr fontId="1"/>
  </si>
  <si>
    <t>※ 諸雑費の内訳は、機械器具の損料71％及び燃料の費用9％とし、機械器具の損料の内訳は、償却費28％、維持修理費16％及び管理費27％</t>
    <phoneticPr fontId="1"/>
  </si>
  <si>
    <t>※ 諸雑費は、木回し（フェリングレバー）等の損料であり、労務費の合計額に上表の率を乗じた金額を計上</t>
    <phoneticPr fontId="1"/>
  </si>
  <si>
    <t>※ 諸雑費は、ナンバーテープ等の消耗品の費用であり、労務費の合計額に上表の率を乗じた金額を計上</t>
    <phoneticPr fontId="1"/>
  </si>
  <si>
    <t>※ 伐木し、伐倒木を地面に引き落とす工程及び伐倒木の幹が地面に着くまでの枝払いをする工程に適用</t>
    <phoneticPr fontId="1"/>
  </si>
  <si>
    <t>※伐倒木を市場等に出荷するため丸太等に採材、玉切る工程に適用</t>
    <phoneticPr fontId="1"/>
  </si>
  <si>
    <r>
      <t xml:space="preserve">損料
</t>
    </r>
    <r>
      <rPr>
        <sz val="9"/>
        <color theme="1"/>
        <rFont val="ＭＳ 明朝"/>
        <family val="1"/>
        <charset val="128"/>
      </rPr>
      <t>（１時間当たり）</t>
    </r>
    <rPh sb="0" eb="2">
      <t>ソンリョウ</t>
    </rPh>
    <rPh sb="5" eb="7">
      <t>ジカン</t>
    </rPh>
    <rPh sb="7" eb="8">
      <t>ア</t>
    </rPh>
    <phoneticPr fontId="1"/>
  </si>
  <si>
    <t>人/1,000本</t>
    <rPh sb="0" eb="1">
      <t>ニン</t>
    </rPh>
    <rPh sb="7" eb="8">
      <t>ホン</t>
    </rPh>
    <phoneticPr fontId="1"/>
  </si>
  <si>
    <t>※　植栽列等に沿って刈り払いを行う「筋刈り」に適用</t>
    <phoneticPr fontId="1"/>
  </si>
  <si>
    <t>自</t>
    <rPh sb="0" eb="1">
      <t>ジ</t>
    </rPh>
    <phoneticPr fontId="1"/>
  </si>
  <si>
    <t>至</t>
    <rPh sb="0" eb="1">
      <t>イタ</t>
    </rPh>
    <phoneticPr fontId="1"/>
  </si>
  <si>
    <t>積雪寒冷地</t>
    <rPh sb="0" eb="2">
      <t>セキセツ</t>
    </rPh>
    <rPh sb="2" eb="5">
      <t>カンレイチ</t>
    </rPh>
    <phoneticPr fontId="1"/>
  </si>
  <si>
    <t>１級地</t>
    <rPh sb="1" eb="2">
      <t>キュウ</t>
    </rPh>
    <rPh sb="2" eb="3">
      <t>チ</t>
    </rPh>
    <phoneticPr fontId="1"/>
  </si>
  <si>
    <t>２級地</t>
    <rPh sb="1" eb="2">
      <t>キュウ</t>
    </rPh>
    <rPh sb="2" eb="3">
      <t>チ</t>
    </rPh>
    <phoneticPr fontId="1"/>
  </si>
  <si>
    <t>３級地</t>
    <rPh sb="1" eb="2">
      <t>キュウ</t>
    </rPh>
    <rPh sb="2" eb="3">
      <t>チ</t>
    </rPh>
    <phoneticPr fontId="1"/>
  </si>
  <si>
    <t>４級地</t>
    <rPh sb="1" eb="2">
      <t>キュウ</t>
    </rPh>
    <rPh sb="2" eb="3">
      <t>チ</t>
    </rPh>
    <phoneticPr fontId="1"/>
  </si>
  <si>
    <t>該当なし</t>
    <rPh sb="0" eb="2">
      <t>ガイトウ</t>
    </rPh>
    <phoneticPr fontId="1"/>
  </si>
  <si>
    <t>事業日数</t>
    <rPh sb="0" eb="2">
      <t>ジギョウ</t>
    </rPh>
    <rPh sb="2" eb="4">
      <t>ニッスウ</t>
    </rPh>
    <phoneticPr fontId="1"/>
  </si>
  <si>
    <t>※ 諸雑費は、チェーンソーの損料、燃料及びチェーンオイル等の造材に必要な機械器具の使用に要する費用であり、労務費の合計額に上表の率を乗じた金額を計上
※樹種補正は、特殊作業員及び普通作業員の数値それぞれを補正する。</t>
    <rPh sb="76" eb="78">
      <t>ジュシュ</t>
    </rPh>
    <rPh sb="78" eb="80">
      <t>ホセイ</t>
    </rPh>
    <rPh sb="82" eb="84">
      <t>トクシュ</t>
    </rPh>
    <rPh sb="84" eb="87">
      <t>サギョウイン</t>
    </rPh>
    <rPh sb="87" eb="88">
      <t>オヨ</t>
    </rPh>
    <rPh sb="89" eb="91">
      <t>フツウ</t>
    </rPh>
    <rPh sb="91" eb="94">
      <t>サギョウイン</t>
    </rPh>
    <rPh sb="95" eb="97">
      <t>スウチ</t>
    </rPh>
    <rPh sb="102" eb="104">
      <t>ホセイ</t>
    </rPh>
    <phoneticPr fontId="1"/>
  </si>
  <si>
    <t>冬期率</t>
    <rPh sb="0" eb="2">
      <t>トウキ</t>
    </rPh>
    <rPh sb="2" eb="3">
      <t>リツ</t>
    </rPh>
    <phoneticPr fontId="1"/>
  </si>
  <si>
    <t>工期等</t>
    <rPh sb="0" eb="2">
      <t>コウキ</t>
    </rPh>
    <rPh sb="2" eb="3">
      <t>トウ</t>
    </rPh>
    <phoneticPr fontId="1"/>
  </si>
  <si>
    <t>現場管理費
補正率</t>
    <rPh sb="0" eb="2">
      <t>ゲンバ</t>
    </rPh>
    <rPh sb="2" eb="5">
      <t>カンリヒ</t>
    </rPh>
    <rPh sb="6" eb="8">
      <t>ホセイ</t>
    </rPh>
    <rPh sb="8" eb="9">
      <t>リツ</t>
    </rPh>
    <phoneticPr fontId="1"/>
  </si>
  <si>
    <t>実勢取引価格</t>
    <rPh sb="0" eb="2">
      <t>ジッセイ</t>
    </rPh>
    <rPh sb="2" eb="4">
      <t>トリヒキ</t>
    </rPh>
    <rPh sb="4" eb="6">
      <t>カカク</t>
    </rPh>
    <phoneticPr fontId="1"/>
  </si>
  <si>
    <t>燃料単価</t>
    <rPh sb="0" eb="2">
      <t>ネンリョウ</t>
    </rPh>
    <rPh sb="2" eb="4">
      <t>タンカ</t>
    </rPh>
    <phoneticPr fontId="1"/>
  </si>
  <si>
    <t>※太枠については、取引価格等を聴取するなど、地域の実態に即した価格を入れること</t>
    <rPh sb="1" eb="2">
      <t>フトシ</t>
    </rPh>
    <rPh sb="2" eb="3">
      <t>ワク</t>
    </rPh>
    <rPh sb="9" eb="11">
      <t>トリヒキ</t>
    </rPh>
    <rPh sb="11" eb="13">
      <t>カカク</t>
    </rPh>
    <rPh sb="13" eb="14">
      <t>トウ</t>
    </rPh>
    <rPh sb="15" eb="17">
      <t>チョウシュ</t>
    </rPh>
    <rPh sb="22" eb="24">
      <t>チイキ</t>
    </rPh>
    <rPh sb="25" eb="27">
      <t>ジッタイ</t>
    </rPh>
    <rPh sb="28" eb="29">
      <t>ソク</t>
    </rPh>
    <rPh sb="31" eb="33">
      <t>カカク</t>
    </rPh>
    <rPh sb="34" eb="35">
      <t>イ</t>
    </rPh>
    <phoneticPr fontId="1"/>
  </si>
  <si>
    <r>
      <t xml:space="preserve">積算価格
</t>
    </r>
    <r>
      <rPr>
        <sz val="10"/>
        <color theme="1"/>
        <rFont val="ＭＳ ゴシック"/>
        <family val="3"/>
        <charset val="128"/>
      </rPr>
      <t>（税込）</t>
    </r>
    <rPh sb="0" eb="2">
      <t>セキサン</t>
    </rPh>
    <rPh sb="2" eb="4">
      <t>カカク</t>
    </rPh>
    <rPh sb="6" eb="8">
      <t>ゼイコ</t>
    </rPh>
    <phoneticPr fontId="1"/>
  </si>
  <si>
    <t>冬期日数</t>
    <rPh sb="0" eb="2">
      <t>トウキ</t>
    </rPh>
    <rPh sb="2" eb="4">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</si>
</sst>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5" formatCode="&quot;¥&quot;#,##0;&quot;¥&quot;\-#,##0"/>
    <numFmt numFmtId="176" formatCode="#,##0&quot;本/ha&quot;"/>
    <numFmt numFmtId="177" formatCode="#,##0&quot;ha&quot;"/>
    <numFmt numFmtId="178" formatCode="#,##0&quot;年生&quot;"/>
    <numFmt numFmtId="179" formatCode="#,##0&quot;cm&quot;"/>
    <numFmt numFmtId="180" formatCode="#,##0&quot; m3&quot;"/>
    <numFmt numFmtId="181" formatCode="#,##0&quot;千円&quot;"/>
    <numFmt numFmtId="182" formatCode="#,##0.0&quot;円/時&quot;"/>
    <numFmt numFmtId="183" formatCode="#,##0&quot;円/日&quot;"/>
    <numFmt numFmtId="184" formatCode="#,##0&quot;m3/日&quot;"/>
    <numFmt numFmtId="185" formatCode="0.0"/>
    <numFmt numFmtId="186" formatCode="&quot;(&quot;#,##0&quot;)&quot;"/>
    <numFmt numFmtId="187" formatCode="#,##0&quot;円/L&quot;"/>
    <numFmt numFmtId="188" formatCode="#,##0.0&quot;L/時&quot;"/>
    <numFmt numFmtId="189" formatCode="#,##0&quot;年&quot;"/>
    <numFmt numFmtId="190" formatCode="#,##0&quot;日/年&quot;"/>
    <numFmt numFmtId="191" formatCode="#,##0&quot;時間&quot;"/>
    <numFmt numFmtId="192" formatCode="#,##0.000&quot;L/kw・h&quot;"/>
    <numFmt numFmtId="193" formatCode="#,##0&quot;kw&quot;"/>
    <numFmt numFmtId="194" formatCode="#,##0&quot;円&quot;"/>
    <numFmt numFmtId="195" formatCode="#,##0&quot;m3/ｈ&quot;"/>
    <numFmt numFmtId="196" formatCode="0.00&quot;日/100ｍ&quot;"/>
    <numFmt numFmtId="197" formatCode="0&quot;m&quot;"/>
    <numFmt numFmtId="198" formatCode="#,##0&quot;m3&quot;"/>
    <numFmt numFmtId="199" formatCode="0.00&quot;日&quot;"/>
    <numFmt numFmtId="200" formatCode="#,##0&quot;日&quot;"/>
    <numFmt numFmtId="201" formatCode="#,##0.0&quot;年&quot;"/>
    <numFmt numFmtId="202" formatCode="#,##0&quot;円/時間&quot;"/>
    <numFmt numFmtId="203" formatCode="0.000000_ "/>
    <numFmt numFmtId="204" formatCode="#,##0&quot;°&quot;"/>
    <numFmt numFmtId="205" formatCode="0.0&quot;人/100m3&quot;"/>
    <numFmt numFmtId="206" formatCode="0.00&quot;人/100m&quot;"/>
    <numFmt numFmtId="207" formatCode="0&quot;L/1日&quot;"/>
    <numFmt numFmtId="208" formatCode="0.00&quot;人/1日&quot;"/>
    <numFmt numFmtId="209" formatCode="0.00&quot;供用日/日&quot;"/>
    <numFmt numFmtId="210" formatCode="#,##0&quot;円/供用日&quot;"/>
    <numFmt numFmtId="211" formatCode="[$-411]ggge&quot;年&quot;m&quot;月&quot;d&quot;日&quot;;@"/>
    <numFmt numFmtId="212" formatCode="0.00_ "/>
    <numFmt numFmtId="213" formatCode="0.0000"/>
  </numFmts>
  <fonts count="30" x14ac:knownFonts="1">
    <font>
      <sz val="12"/>
      <color theme="1"/>
      <name val="ＭＳ 明朝"/>
      <family val="1"/>
      <charset val="128"/>
    </font>
    <font>
      <sz val="6"/>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12"/>
      <color theme="1"/>
      <name val="ＭＳ ゴシック"/>
      <family val="3"/>
      <charset val="128"/>
    </font>
    <font>
      <sz val="9"/>
      <color theme="1"/>
      <name val="ＭＳ ゴシック"/>
      <family val="3"/>
      <charset val="128"/>
    </font>
    <font>
      <sz val="16"/>
      <color theme="1"/>
      <name val="ＭＳ 明朝"/>
      <family val="1"/>
      <charset val="128"/>
    </font>
    <font>
      <b/>
      <sz val="18"/>
      <color theme="1"/>
      <name val="ＭＳ ゴシック"/>
      <family val="3"/>
      <charset val="128"/>
    </font>
    <font>
      <sz val="11"/>
      <color theme="1"/>
      <name val="ＭＳ ゴシック"/>
      <family val="3"/>
      <charset val="128"/>
    </font>
    <font>
      <sz val="8"/>
      <color theme="1"/>
      <name val="ＭＳ 明朝"/>
      <family val="1"/>
      <charset val="128"/>
    </font>
    <font>
      <sz val="18"/>
      <color theme="1"/>
      <name val="ＭＳ ゴシック"/>
      <family val="3"/>
      <charset val="128"/>
    </font>
    <font>
      <sz val="10"/>
      <color theme="1"/>
      <name val="ＭＳ ゴシック"/>
      <family val="3"/>
      <charset val="128"/>
    </font>
    <font>
      <sz val="11"/>
      <color theme="1"/>
      <name val="ＭＳ 明朝"/>
      <family val="1"/>
      <charset val="128"/>
    </font>
    <font>
      <b/>
      <sz val="12"/>
      <color theme="1"/>
      <name val="ＭＳ 明朝"/>
      <family val="1"/>
      <charset val="128"/>
    </font>
    <font>
      <b/>
      <sz val="12"/>
      <color theme="1"/>
      <name val="ＭＳ ゴシック"/>
      <family val="3"/>
      <charset val="128"/>
    </font>
    <font>
      <sz val="10"/>
      <name val="ＭＳ 明朝"/>
      <family val="1"/>
      <charset val="128"/>
    </font>
    <font>
      <b/>
      <sz val="11"/>
      <color theme="1"/>
      <name val="ＭＳ 明朝"/>
      <family val="1"/>
      <charset val="128"/>
    </font>
    <font>
      <b/>
      <sz val="9"/>
      <color theme="1"/>
      <name val="ＭＳ 明朝"/>
      <family val="1"/>
      <charset val="128"/>
    </font>
    <font>
      <b/>
      <sz val="8"/>
      <color theme="1"/>
      <name val="ＭＳ 明朝"/>
      <family val="1"/>
      <charset val="128"/>
    </font>
    <font>
      <u/>
      <sz val="12"/>
      <color theme="10"/>
      <name val="ＭＳ 明朝"/>
      <family val="1"/>
      <charset val="128"/>
    </font>
    <font>
      <sz val="18"/>
      <color theme="1"/>
      <name val="ＭＳ ゴシック"/>
      <family val="3"/>
    </font>
    <font>
      <sz val="9"/>
      <color theme="1"/>
      <name val="ＭＳ ゴシック"/>
      <family val="3"/>
    </font>
    <font>
      <sz val="12"/>
      <name val="ＭＳ 明朝"/>
      <family val="1"/>
      <charset val="128"/>
    </font>
    <font>
      <sz val="12"/>
      <color theme="1"/>
      <name val="ＭＳ ゴシック"/>
      <family val="3"/>
    </font>
    <font>
      <sz val="12"/>
      <color rgb="FFFF0000"/>
      <name val="ＭＳ 明朝"/>
      <family val="1"/>
      <charset val="128"/>
    </font>
    <font>
      <b/>
      <u/>
      <sz val="18"/>
      <color theme="10"/>
      <name val="ＭＳ ゴシック"/>
      <family val="3"/>
      <charset val="128"/>
    </font>
    <font>
      <sz val="9"/>
      <name val="ＭＳ 明朝"/>
      <family val="3"/>
      <charset val="128"/>
    </font>
    <font>
      <sz val="11"/>
      <name val="ＭＳ ゴシック"/>
      <family val="3"/>
      <charset val="128"/>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63">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diagonal/>
    </border>
    <border>
      <left/>
      <right style="thin">
        <color auto="1"/>
      </right>
      <top/>
      <bottom style="thin">
        <color auto="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39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8" xfId="0" applyBorder="1" applyAlignment="1">
      <alignment horizontal="center"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0" xfId="0" applyFont="1">
      <alignment vertical="center"/>
    </xf>
    <xf numFmtId="38" fontId="2" fillId="0" borderId="2" xfId="1" applyFont="1" applyBorder="1">
      <alignment vertical="center"/>
    </xf>
    <xf numFmtId="38" fontId="2" fillId="0" borderId="8" xfId="1" applyFont="1" applyBorder="1">
      <alignment vertical="center"/>
    </xf>
    <xf numFmtId="38" fontId="2" fillId="0" borderId="6" xfId="1" applyFont="1" applyBorder="1">
      <alignment vertical="center"/>
    </xf>
    <xf numFmtId="0" fontId="3" fillId="0" borderId="16" xfId="0" applyFont="1" applyBorder="1">
      <alignment vertical="center"/>
    </xf>
    <xf numFmtId="0" fontId="3" fillId="2" borderId="0" xfId="0" applyFont="1" applyFill="1">
      <alignment vertical="center"/>
    </xf>
    <xf numFmtId="0" fontId="4" fillId="0" borderId="17" xfId="0" applyFont="1" applyBorder="1">
      <alignment vertical="center"/>
    </xf>
    <xf numFmtId="0" fontId="4" fillId="0" borderId="18" xfId="0" applyFont="1" applyBorder="1">
      <alignment vertical="center"/>
    </xf>
    <xf numFmtId="0" fontId="5" fillId="0" borderId="0" xfId="0" applyFont="1">
      <alignment vertical="center"/>
    </xf>
    <xf numFmtId="0" fontId="5" fillId="0" borderId="0" xfId="0" applyFont="1" applyAlignment="1">
      <alignment horizontal="left" vertical="center"/>
    </xf>
    <xf numFmtId="0" fontId="4" fillId="0" borderId="21" xfId="0" applyFont="1" applyBorder="1" applyAlignment="1">
      <alignment horizontal="right" vertical="center"/>
    </xf>
    <xf numFmtId="0" fontId="6" fillId="0" borderId="0" xfId="0" applyFont="1" applyAlignment="1">
      <alignment horizontal="left" vertical="center"/>
    </xf>
    <xf numFmtId="0" fontId="7" fillId="0" borderId="0" xfId="0" applyFont="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2" fontId="0" fillId="0" borderId="0" xfId="0" applyNumberFormat="1">
      <alignment vertical="center"/>
    </xf>
    <xf numFmtId="0" fontId="0" fillId="0" borderId="25" xfId="0" applyBorder="1">
      <alignment vertical="center"/>
    </xf>
    <xf numFmtId="0" fontId="0" fillId="0" borderId="25" xfId="0" applyBorder="1" applyAlignment="1">
      <alignment horizontal="center" vertical="center"/>
    </xf>
    <xf numFmtId="0" fontId="0" fillId="0" borderId="25" xfId="0" applyBorder="1" applyAlignment="1">
      <alignment vertical="center" shrinkToFit="1"/>
    </xf>
    <xf numFmtId="0" fontId="0" fillId="0" borderId="19" xfId="0" applyBorder="1">
      <alignment vertical="center"/>
    </xf>
    <xf numFmtId="0" fontId="11" fillId="0" borderId="0" xfId="0" applyFont="1">
      <alignment vertical="center"/>
    </xf>
    <xf numFmtId="0" fontId="0" fillId="0" borderId="33" xfId="0" applyBorder="1">
      <alignment vertical="center"/>
    </xf>
    <xf numFmtId="0" fontId="0" fillId="0" borderId="34" xfId="0" applyBorder="1">
      <alignment vertical="center"/>
    </xf>
    <xf numFmtId="0" fontId="6" fillId="0" borderId="0" xfId="0" applyFont="1">
      <alignment vertical="center"/>
    </xf>
    <xf numFmtId="0" fontId="0" fillId="0" borderId="29" xfId="0" applyBorder="1">
      <alignment vertical="center"/>
    </xf>
    <xf numFmtId="0" fontId="3" fillId="0" borderId="0" xfId="0" applyFont="1" applyAlignment="1">
      <alignment vertical="center" shrinkToFit="1"/>
    </xf>
    <xf numFmtId="0" fontId="5" fillId="0" borderId="22" xfId="0" applyFont="1" applyBorder="1">
      <alignment vertical="center"/>
    </xf>
    <xf numFmtId="0" fontId="5" fillId="0" borderId="1" xfId="0" applyFont="1" applyBorder="1">
      <alignment vertical="center"/>
    </xf>
    <xf numFmtId="0" fontId="5" fillId="0" borderId="26" xfId="0" applyFont="1" applyBorder="1">
      <alignment vertical="center"/>
    </xf>
    <xf numFmtId="0" fontId="0" fillId="0" borderId="14" xfId="0" applyBorder="1" applyAlignment="1">
      <alignment horizontal="center" vertical="center"/>
    </xf>
    <xf numFmtId="0" fontId="14" fillId="0" borderId="25" xfId="0" applyFont="1" applyBorder="1" applyAlignment="1">
      <alignment horizontal="center" vertical="center" shrinkToFit="1"/>
    </xf>
    <xf numFmtId="0" fontId="0" fillId="0" borderId="26" xfId="0" applyBorder="1" applyAlignment="1">
      <alignment horizontal="center" vertical="center"/>
    </xf>
    <xf numFmtId="0" fontId="0" fillId="0" borderId="27" xfId="0" applyBorder="1">
      <alignment vertical="center"/>
    </xf>
    <xf numFmtId="0" fontId="0" fillId="0" borderId="27" xfId="0" applyBorder="1" applyAlignment="1">
      <alignment horizontal="center" vertical="center"/>
    </xf>
    <xf numFmtId="38" fontId="2" fillId="0" borderId="27" xfId="1" applyFont="1" applyBorder="1">
      <alignment vertical="center"/>
    </xf>
    <xf numFmtId="0" fontId="0" fillId="0" borderId="28" xfId="0" applyBorder="1" applyAlignment="1">
      <alignment horizontal="center" vertical="center"/>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horizontal="left" vertical="center"/>
    </xf>
    <xf numFmtId="0" fontId="0" fillId="0" borderId="1" xfId="0" applyBorder="1" applyAlignment="1">
      <alignment horizontal="left" vertical="center"/>
    </xf>
    <xf numFmtId="0" fontId="5" fillId="0" borderId="0" xfId="0" applyFont="1" applyBorder="1" applyAlignment="1">
      <alignment horizontal="center" vertical="center"/>
    </xf>
    <xf numFmtId="0" fontId="5" fillId="0" borderId="0" xfId="0" applyFont="1" applyBorder="1">
      <alignment vertical="center"/>
    </xf>
    <xf numFmtId="0" fontId="0" fillId="0" borderId="0" xfId="0" applyFill="1">
      <alignment vertical="center"/>
    </xf>
    <xf numFmtId="0" fontId="7" fillId="0" borderId="0" xfId="0" applyFont="1" applyFill="1" applyAlignment="1">
      <alignment horizontal="center" vertical="center"/>
    </xf>
    <xf numFmtId="0" fontId="3" fillId="0" borderId="0" xfId="0" applyFont="1" applyFill="1">
      <alignment vertical="center"/>
    </xf>
    <xf numFmtId="0" fontId="5" fillId="2" borderId="0" xfId="0" applyFont="1" applyFill="1" applyBorder="1">
      <alignment vertical="center"/>
    </xf>
    <xf numFmtId="0" fontId="5" fillId="2" borderId="0" xfId="0" applyFont="1" applyFill="1">
      <alignment vertical="center"/>
    </xf>
    <xf numFmtId="0" fontId="15" fillId="0" borderId="0" xfId="0" applyFont="1">
      <alignment vertical="center"/>
    </xf>
    <xf numFmtId="0" fontId="5" fillId="3" borderId="25" xfId="0" applyFont="1" applyFill="1" applyBorder="1" applyAlignment="1">
      <alignment horizontal="center" vertical="center"/>
    </xf>
    <xf numFmtId="0" fontId="8" fillId="3" borderId="0" xfId="0" applyFont="1" applyFill="1">
      <alignment vertical="center"/>
    </xf>
    <xf numFmtId="0" fontId="0" fillId="3" borderId="25" xfId="0" applyFill="1" applyBorder="1">
      <alignment vertical="center"/>
    </xf>
    <xf numFmtId="9" fontId="0" fillId="3" borderId="25" xfId="0" applyNumberFormat="1" applyFill="1" applyBorder="1">
      <alignment vertical="center"/>
    </xf>
    <xf numFmtId="185" fontId="0" fillId="4" borderId="4" xfId="0" applyNumberFormat="1" applyFill="1" applyBorder="1">
      <alignment vertical="center"/>
    </xf>
    <xf numFmtId="38" fontId="2" fillId="4" borderId="4" xfId="1" applyFont="1" applyFill="1" applyBorder="1">
      <alignment vertical="center"/>
    </xf>
    <xf numFmtId="0" fontId="4" fillId="4" borderId="20" xfId="0" applyFont="1" applyFill="1" applyBorder="1" applyAlignment="1">
      <alignment vertical="center" wrapText="1"/>
    </xf>
    <xf numFmtId="38" fontId="4" fillId="4" borderId="21" xfId="1" applyFont="1" applyFill="1" applyBorder="1" applyAlignment="1">
      <alignment vertical="center"/>
    </xf>
    <xf numFmtId="38" fontId="2" fillId="4" borderId="4" xfId="1" applyNumberFormat="1" applyFont="1" applyFill="1" applyBorder="1">
      <alignment vertical="center"/>
    </xf>
    <xf numFmtId="2" fontId="4" fillId="4" borderId="13" xfId="0" applyNumberFormat="1" applyFont="1" applyFill="1" applyBorder="1" applyAlignment="1">
      <alignment vertical="center" wrapText="1"/>
    </xf>
    <xf numFmtId="38" fontId="2" fillId="4" borderId="2" xfId="1" applyFont="1" applyFill="1" applyBorder="1">
      <alignment vertical="center"/>
    </xf>
    <xf numFmtId="2" fontId="4" fillId="4" borderId="21" xfId="0" applyNumberFormat="1" applyFont="1" applyFill="1" applyBorder="1">
      <alignment vertical="center"/>
    </xf>
    <xf numFmtId="38" fontId="2" fillId="0" borderId="27" xfId="1" applyFont="1" applyFill="1" applyBorder="1">
      <alignment vertical="center"/>
    </xf>
    <xf numFmtId="2" fontId="0" fillId="4" borderId="4" xfId="0" applyNumberFormat="1" applyFill="1" applyBorder="1">
      <alignment vertical="center"/>
    </xf>
    <xf numFmtId="9" fontId="0" fillId="4" borderId="8" xfId="0" applyNumberFormat="1" applyFill="1" applyBorder="1">
      <alignment vertical="center"/>
    </xf>
    <xf numFmtId="38" fontId="2" fillId="4" borderId="8" xfId="1" applyNumberFormat="1" applyFont="1" applyFill="1" applyBorder="1">
      <alignment vertical="center"/>
    </xf>
    <xf numFmtId="38" fontId="4" fillId="4" borderId="18" xfId="0" applyNumberFormat="1" applyFont="1" applyFill="1" applyBorder="1">
      <alignment vertical="center"/>
    </xf>
    <xf numFmtId="38" fontId="3" fillId="4" borderId="16" xfId="1" applyFont="1" applyFill="1" applyBorder="1" applyAlignment="1">
      <alignment vertical="center"/>
    </xf>
    <xf numFmtId="0" fontId="0" fillId="4" borderId="0" xfId="0" applyFill="1">
      <alignment vertical="center"/>
    </xf>
    <xf numFmtId="38" fontId="2" fillId="4" borderId="6" xfId="1" applyNumberFormat="1" applyFont="1" applyFill="1" applyBorder="1">
      <alignment vertical="center"/>
    </xf>
    <xf numFmtId="38" fontId="5" fillId="4" borderId="23" xfId="1" applyFont="1" applyFill="1" applyBorder="1">
      <alignment vertical="center"/>
    </xf>
    <xf numFmtId="38" fontId="2" fillId="4" borderId="23" xfId="1" applyFont="1" applyFill="1" applyBorder="1">
      <alignment vertical="center"/>
    </xf>
    <xf numFmtId="2" fontId="16" fillId="4" borderId="20" xfId="0" applyNumberFormat="1" applyFont="1" applyFill="1" applyBorder="1" applyAlignment="1">
      <alignment vertical="center" wrapText="1"/>
    </xf>
    <xf numFmtId="38" fontId="5" fillId="4" borderId="2" xfId="1" applyFont="1" applyFill="1" applyBorder="1">
      <alignment vertical="center"/>
    </xf>
    <xf numFmtId="2" fontId="16" fillId="4" borderId="21" xfId="0" applyNumberFormat="1" applyFont="1" applyFill="1" applyBorder="1">
      <alignment vertical="center"/>
    </xf>
    <xf numFmtId="38" fontId="2" fillId="4" borderId="8" xfId="1" applyFont="1" applyFill="1" applyBorder="1">
      <alignment vertical="center"/>
    </xf>
    <xf numFmtId="38" fontId="2" fillId="4" borderId="6" xfId="1" applyFont="1" applyFill="1" applyBorder="1">
      <alignment vertical="center"/>
    </xf>
    <xf numFmtId="0" fontId="0" fillId="4" borderId="4" xfId="0" applyFill="1" applyBorder="1">
      <alignment vertical="center"/>
    </xf>
    <xf numFmtId="38" fontId="2" fillId="4" borderId="15" xfId="1" applyFont="1" applyFill="1" applyBorder="1">
      <alignment vertical="center"/>
    </xf>
    <xf numFmtId="186" fontId="2" fillId="4" borderId="23" xfId="1" applyNumberFormat="1" applyFont="1" applyFill="1" applyBorder="1">
      <alignment vertical="center"/>
    </xf>
    <xf numFmtId="38" fontId="0" fillId="4" borderId="27" xfId="0" applyNumberFormat="1" applyFill="1" applyBorder="1">
      <alignment vertical="center"/>
    </xf>
    <xf numFmtId="38" fontId="0" fillId="4" borderId="25" xfId="0" applyNumberFormat="1" applyFill="1" applyBorder="1">
      <alignment vertical="center"/>
    </xf>
    <xf numFmtId="0" fontId="5" fillId="4" borderId="25" xfId="0" applyFont="1" applyFill="1" applyBorder="1" applyAlignment="1">
      <alignment horizontal="center" vertical="center"/>
    </xf>
    <xf numFmtId="0" fontId="14" fillId="0" borderId="25" xfId="0" applyFont="1" applyFill="1" applyBorder="1" applyAlignment="1">
      <alignment horizontal="center" vertical="center" shrinkToFit="1"/>
    </xf>
    <xf numFmtId="0" fontId="14" fillId="0" borderId="25" xfId="0" applyFont="1" applyBorder="1" applyAlignment="1">
      <alignment vertical="center" shrinkToFit="1"/>
    </xf>
    <xf numFmtId="0" fontId="14" fillId="0" borderId="25" xfId="0" applyFont="1" applyBorder="1" applyAlignment="1">
      <alignment horizontal="center" vertical="center" wrapText="1" shrinkToFit="1"/>
    </xf>
    <xf numFmtId="0" fontId="14" fillId="0" borderId="25" xfId="0" applyFont="1" applyFill="1" applyBorder="1" applyAlignment="1">
      <alignment horizontal="center" vertical="center" wrapText="1" shrinkToFit="1"/>
    </xf>
    <xf numFmtId="184" fontId="0" fillId="4" borderId="2" xfId="0" applyNumberFormat="1" applyFill="1" applyBorder="1">
      <alignment vertical="center"/>
    </xf>
    <xf numFmtId="0" fontId="0" fillId="0" borderId="42" xfId="0" applyBorder="1">
      <alignment vertical="center"/>
    </xf>
    <xf numFmtId="0" fontId="0" fillId="0" borderId="47" xfId="0" applyBorder="1">
      <alignment vertical="center"/>
    </xf>
    <xf numFmtId="0" fontId="0" fillId="0" borderId="48" xfId="0" applyBorder="1">
      <alignment vertical="center"/>
    </xf>
    <xf numFmtId="0" fontId="0" fillId="0" borderId="0" xfId="0" applyBorder="1">
      <alignment vertical="center"/>
    </xf>
    <xf numFmtId="0" fontId="0" fillId="0" borderId="41" xfId="0" applyBorder="1">
      <alignment vertical="center"/>
    </xf>
    <xf numFmtId="0" fontId="0" fillId="0" borderId="32" xfId="0" applyBorder="1">
      <alignment vertical="center"/>
    </xf>
    <xf numFmtId="0" fontId="14" fillId="0" borderId="19" xfId="0" applyFont="1" applyBorder="1" applyAlignment="1">
      <alignment vertical="center" shrinkToFit="1"/>
    </xf>
    <xf numFmtId="187" fontId="0" fillId="3" borderId="50" xfId="0" applyNumberFormat="1" applyFill="1" applyBorder="1">
      <alignment vertical="center"/>
    </xf>
    <xf numFmtId="0" fontId="18" fillId="0" borderId="49" xfId="0" applyFont="1" applyBorder="1" applyAlignment="1">
      <alignment horizontal="center" vertical="center" wrapText="1" shrinkToFit="1"/>
    </xf>
    <xf numFmtId="181" fontId="0" fillId="3" borderId="50" xfId="0" applyNumberFormat="1" applyFill="1" applyBorder="1" applyAlignment="1">
      <alignment vertical="center" shrinkToFit="1"/>
    </xf>
    <xf numFmtId="188" fontId="0" fillId="4" borderId="19" xfId="0" applyNumberFormat="1" applyFill="1" applyBorder="1">
      <alignment vertical="center"/>
    </xf>
    <xf numFmtId="183" fontId="0" fillId="4" borderId="25" xfId="0" applyNumberFormat="1" applyFill="1" applyBorder="1" applyAlignment="1">
      <alignment vertical="center" shrinkToFit="1"/>
    </xf>
    <xf numFmtId="183" fontId="14" fillId="4" borderId="25" xfId="0" applyNumberFormat="1" applyFont="1" applyFill="1" applyBorder="1">
      <alignment vertical="center"/>
    </xf>
    <xf numFmtId="0" fontId="20" fillId="0" borderId="0" xfId="2">
      <alignment vertical="center"/>
    </xf>
    <xf numFmtId="0" fontId="7" fillId="0" borderId="0" xfId="0" applyFont="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5" fillId="2" borderId="25" xfId="0" applyFont="1" applyFill="1" applyBorder="1" applyAlignment="1">
      <alignment horizontal="center" vertical="center"/>
    </xf>
    <xf numFmtId="0" fontId="5" fillId="0" borderId="25" xfId="0" applyFont="1" applyBorder="1" applyAlignment="1">
      <alignment horizontal="center" vertical="center"/>
    </xf>
    <xf numFmtId="0" fontId="15" fillId="2" borderId="0" xfId="0" applyFont="1" applyFill="1" applyBorder="1" applyAlignment="1">
      <alignment horizontal="left" vertical="center"/>
    </xf>
    <xf numFmtId="0" fontId="5" fillId="2" borderId="25" xfId="0" applyFont="1" applyFill="1" applyBorder="1" applyAlignment="1">
      <alignment vertical="center" shrinkToFit="1"/>
    </xf>
    <xf numFmtId="0" fontId="3" fillId="4" borderId="0" xfId="0" applyFont="1" applyFill="1">
      <alignment vertical="center"/>
    </xf>
    <xf numFmtId="0" fontId="4" fillId="0" borderId="25" xfId="0" applyFont="1" applyBorder="1" applyAlignment="1">
      <alignment vertical="center" wrapText="1"/>
    </xf>
    <xf numFmtId="0" fontId="0" fillId="0" borderId="25" xfId="0"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0" fillId="0" borderId="7" xfId="0" applyFill="1" applyBorder="1">
      <alignment vertical="center"/>
    </xf>
    <xf numFmtId="0" fontId="0" fillId="0" borderId="8" xfId="0" applyFill="1" applyBorder="1">
      <alignment vertical="center"/>
    </xf>
    <xf numFmtId="9" fontId="0" fillId="0" borderId="8" xfId="0" applyNumberFormat="1" applyFill="1" applyBorder="1">
      <alignment vertical="center"/>
    </xf>
    <xf numFmtId="0" fontId="0" fillId="0" borderId="8" xfId="0" applyFill="1" applyBorder="1" applyAlignment="1">
      <alignment horizontal="center" vertical="center"/>
    </xf>
    <xf numFmtId="38" fontId="2" fillId="0" borderId="8" xfId="1" applyFont="1" applyFill="1" applyBorder="1">
      <alignment vertical="center"/>
    </xf>
    <xf numFmtId="0" fontId="4" fillId="0" borderId="13" xfId="0" applyFont="1" applyFill="1" applyBorder="1" applyAlignment="1">
      <alignment horizontal="right" vertical="center"/>
    </xf>
    <xf numFmtId="38" fontId="4" fillId="0" borderId="14" xfId="0" applyNumberFormat="1" applyFont="1" applyFill="1" applyBorder="1">
      <alignment vertical="center"/>
    </xf>
    <xf numFmtId="0" fontId="13" fillId="0" borderId="7" xfId="0" applyFont="1" applyFill="1" applyBorder="1">
      <alignment vertical="center"/>
    </xf>
    <xf numFmtId="0" fontId="4" fillId="0" borderId="13" xfId="0" applyFont="1" applyFill="1" applyBorder="1" applyAlignment="1">
      <alignment horizontal="left" vertical="center"/>
    </xf>
    <xf numFmtId="0" fontId="0" fillId="0" borderId="9" xfId="0" applyFill="1" applyBorder="1">
      <alignment vertical="center"/>
    </xf>
    <xf numFmtId="0" fontId="0" fillId="0" borderId="10" xfId="0" applyFill="1" applyBorder="1">
      <alignment vertical="center"/>
    </xf>
    <xf numFmtId="0" fontId="5" fillId="0" borderId="0" xfId="0" applyFont="1" applyAlignment="1">
      <alignment vertical="center" shrinkToFit="1"/>
    </xf>
    <xf numFmtId="176" fontId="5" fillId="4" borderId="39" xfId="0" applyNumberFormat="1" applyFont="1" applyFill="1" applyBorder="1" applyAlignment="1">
      <alignment vertical="center"/>
    </xf>
    <xf numFmtId="2" fontId="4" fillId="4" borderId="20" xfId="0" applyNumberFormat="1" applyFont="1" applyFill="1" applyBorder="1" applyAlignment="1">
      <alignment vertical="center" wrapText="1"/>
    </xf>
    <xf numFmtId="0" fontId="14" fillId="0" borderId="12" xfId="0" applyFont="1" applyBorder="1" applyAlignment="1">
      <alignment horizontal="center" vertical="center" shrinkToFit="1"/>
    </xf>
    <xf numFmtId="0" fontId="18" fillId="0" borderId="25" xfId="0" applyFont="1" applyBorder="1" applyAlignment="1">
      <alignment horizontal="center" vertical="center" wrapText="1" shrinkToFit="1"/>
    </xf>
    <xf numFmtId="181" fontId="0" fillId="3" borderId="25" xfId="0" applyNumberFormat="1" applyFill="1" applyBorder="1" applyAlignment="1">
      <alignment vertical="center" shrinkToFit="1"/>
    </xf>
    <xf numFmtId="202" fontId="0" fillId="4" borderId="25" xfId="0" applyNumberFormat="1" applyFill="1" applyBorder="1" applyAlignment="1">
      <alignment vertical="center" shrinkToFit="1"/>
    </xf>
    <xf numFmtId="193" fontId="0" fillId="3" borderId="19" xfId="0" applyNumberFormat="1" applyFill="1" applyBorder="1" applyAlignment="1">
      <alignment vertical="center" shrinkToFit="1"/>
    </xf>
    <xf numFmtId="201" fontId="0" fillId="3" borderId="12" xfId="0" applyNumberFormat="1" applyFill="1" applyBorder="1" applyAlignment="1">
      <alignment vertical="center" shrinkToFit="1"/>
    </xf>
    <xf numFmtId="191" fontId="0" fillId="3" borderId="25" xfId="0" applyNumberFormat="1" applyFill="1" applyBorder="1" applyAlignment="1">
      <alignment vertical="center" shrinkToFit="1"/>
    </xf>
    <xf numFmtId="190" fontId="0" fillId="3" borderId="25" xfId="0" applyNumberFormat="1" applyFill="1" applyBorder="1" applyAlignment="1">
      <alignment vertical="center" shrinkToFit="1"/>
    </xf>
    <xf numFmtId="192" fontId="0" fillId="3" borderId="25" xfId="0" applyNumberFormat="1" applyFill="1" applyBorder="1" applyAlignment="1">
      <alignment vertical="center" shrinkToFit="1"/>
    </xf>
    <xf numFmtId="189" fontId="0" fillId="3" borderId="12" xfId="0" applyNumberFormat="1" applyFill="1" applyBorder="1" applyAlignment="1">
      <alignment vertical="center" shrinkToFit="1"/>
    </xf>
    <xf numFmtId="0" fontId="0" fillId="0" borderId="0" xfId="0" applyFill="1" applyBorder="1">
      <alignment vertical="center"/>
    </xf>
    <xf numFmtId="0" fontId="14" fillId="0" borderId="0" xfId="0" applyFont="1" applyFill="1" applyBorder="1" applyAlignment="1">
      <alignment horizontal="center" vertical="center" shrinkToFit="1"/>
    </xf>
    <xf numFmtId="183" fontId="14" fillId="0" borderId="0" xfId="0" applyNumberFormat="1" applyFont="1" applyFill="1" applyBorder="1">
      <alignment vertical="center"/>
    </xf>
    <xf numFmtId="203" fontId="0" fillId="3" borderId="25" xfId="0" applyNumberFormat="1" applyFill="1" applyBorder="1">
      <alignment vertical="center"/>
    </xf>
    <xf numFmtId="0" fontId="6" fillId="0" borderId="0" xfId="0" applyFont="1" applyAlignment="1">
      <alignment horizontal="left" vertical="center" wrapText="1"/>
    </xf>
    <xf numFmtId="184" fontId="0" fillId="0" borderId="0" xfId="0" applyNumberFormat="1" applyFill="1" applyBorder="1" applyAlignment="1">
      <alignment vertical="center" shrinkToFit="1"/>
    </xf>
    <xf numFmtId="182" fontId="0" fillId="4" borderId="25" xfId="0" applyNumberFormat="1" applyFill="1" applyBorder="1" applyAlignment="1">
      <alignment vertical="center" shrinkToFit="1"/>
    </xf>
    <xf numFmtId="0" fontId="14" fillId="0" borderId="49" xfId="0" applyFont="1" applyBorder="1" applyAlignment="1">
      <alignment horizontal="center" vertical="center" wrapText="1" shrinkToFit="1"/>
    </xf>
    <xf numFmtId="0" fontId="4" fillId="0" borderId="25" xfId="0" applyFont="1" applyBorder="1" applyAlignment="1">
      <alignment vertical="center" wrapText="1" shrinkToFit="1"/>
    </xf>
    <xf numFmtId="199" fontId="0" fillId="4" borderId="25" xfId="0" applyNumberFormat="1" applyFill="1" applyBorder="1">
      <alignment vertical="center"/>
    </xf>
    <xf numFmtId="0" fontId="5" fillId="4" borderId="0" xfId="0" applyFont="1" applyFill="1" applyBorder="1" applyAlignment="1">
      <alignment horizontal="center" vertical="center"/>
    </xf>
    <xf numFmtId="0" fontId="6" fillId="0" borderId="0" xfId="0" applyFont="1" applyBorder="1" applyAlignment="1">
      <alignment horizontal="left" vertical="center" wrapText="1"/>
    </xf>
    <xf numFmtId="0" fontId="0" fillId="0" borderId="25" xfId="0" applyFont="1" applyBorder="1">
      <alignment vertical="center"/>
    </xf>
    <xf numFmtId="206" fontId="0" fillId="4" borderId="25" xfId="0" applyNumberFormat="1" applyFont="1" applyFill="1" applyBorder="1" applyAlignment="1">
      <alignment vertical="center" shrinkToFit="1"/>
    </xf>
    <xf numFmtId="210" fontId="0" fillId="4" borderId="25" xfId="0" applyNumberFormat="1" applyFill="1" applyBorder="1" applyAlignment="1">
      <alignment vertical="center" shrinkToFit="1"/>
    </xf>
    <xf numFmtId="38" fontId="0" fillId="4" borderId="25" xfId="1" applyFont="1" applyFill="1" applyBorder="1">
      <alignment vertical="center"/>
    </xf>
    <xf numFmtId="0" fontId="0" fillId="0" borderId="19" xfId="0" applyBorder="1" applyAlignment="1">
      <alignment vertical="center" shrinkToFit="1"/>
    </xf>
    <xf numFmtId="0" fontId="0" fillId="0" borderId="25" xfId="0" applyFill="1" applyBorder="1" applyAlignment="1">
      <alignment horizontal="right" vertical="center"/>
    </xf>
    <xf numFmtId="198" fontId="0" fillId="0" borderId="25" xfId="0" applyNumberFormat="1" applyFill="1" applyBorder="1">
      <alignment vertical="center"/>
    </xf>
    <xf numFmtId="0" fontId="14" fillId="0" borderId="45" xfId="0" applyFont="1" applyBorder="1">
      <alignment vertical="center"/>
    </xf>
    <xf numFmtId="199" fontId="14" fillId="4" borderId="19" xfId="0" applyNumberFormat="1" applyFont="1" applyFill="1" applyBorder="1">
      <alignment vertical="center"/>
    </xf>
    <xf numFmtId="38" fontId="0" fillId="4" borderId="25" xfId="1" applyNumberFormat="1" applyFont="1" applyFill="1" applyBorder="1">
      <alignment vertical="center"/>
    </xf>
    <xf numFmtId="200" fontId="0" fillId="0" borderId="2" xfId="0" applyNumberFormat="1" applyFill="1" applyBorder="1">
      <alignment vertical="center"/>
    </xf>
    <xf numFmtId="2" fontId="4" fillId="4" borderId="21" xfId="0" applyNumberFormat="1" applyFont="1" applyFill="1" applyBorder="1" applyAlignment="1">
      <alignment vertical="center" wrapText="1"/>
    </xf>
    <xf numFmtId="185" fontId="0" fillId="0" borderId="4" xfId="0" applyNumberFormat="1" applyFill="1" applyBorder="1">
      <alignment vertical="center"/>
    </xf>
    <xf numFmtId="0" fontId="0" fillId="0" borderId="2" xfId="0" applyFill="1" applyBorder="1" applyAlignment="1">
      <alignment horizontal="center" vertical="center"/>
    </xf>
    <xf numFmtId="38" fontId="2" fillId="0" borderId="2" xfId="1" applyFont="1" applyFill="1" applyBorder="1">
      <alignment vertical="center"/>
    </xf>
    <xf numFmtId="0" fontId="3" fillId="0" borderId="34" xfId="0" applyFont="1" applyBorder="1" applyAlignment="1">
      <alignment vertical="center" wrapText="1"/>
    </xf>
    <xf numFmtId="196" fontId="0" fillId="0" borderId="25" xfId="0" applyNumberFormat="1" applyBorder="1" applyAlignment="1">
      <alignment vertical="center" shrinkToFit="1"/>
    </xf>
    <xf numFmtId="194" fontId="4" fillId="4" borderId="18" xfId="0" applyNumberFormat="1" applyFont="1" applyFill="1" applyBorder="1">
      <alignment vertical="center"/>
    </xf>
    <xf numFmtId="0" fontId="21" fillId="0" borderId="0" xfId="0" applyFont="1">
      <alignment vertical="center"/>
    </xf>
    <xf numFmtId="0" fontId="22" fillId="0" borderId="0" xfId="0" applyFont="1">
      <alignment vertical="center"/>
    </xf>
    <xf numFmtId="0" fontId="5" fillId="0" borderId="0" xfId="0" applyFont="1" applyAlignment="1">
      <alignment vertical="center"/>
    </xf>
    <xf numFmtId="0" fontId="5" fillId="0" borderId="25" xfId="0" applyFont="1" applyBorder="1">
      <alignment vertical="center"/>
    </xf>
    <xf numFmtId="0" fontId="0" fillId="0" borderId="25" xfId="0" applyBorder="1" applyAlignment="1" applyProtection="1">
      <alignment horizontal="left" vertical="center" wrapText="1"/>
    </xf>
    <xf numFmtId="0" fontId="0" fillId="0" borderId="25" xfId="0" applyBorder="1" applyAlignment="1" applyProtection="1">
      <alignment vertical="center" shrinkToFit="1"/>
    </xf>
    <xf numFmtId="0" fontId="0" fillId="0" borderId="25" xfId="0" applyBorder="1" applyProtection="1">
      <alignment vertical="center"/>
    </xf>
    <xf numFmtId="2" fontId="0" fillId="0" borderId="25" xfId="0" applyNumberFormat="1" applyFill="1" applyBorder="1" applyProtection="1">
      <alignment vertical="center"/>
    </xf>
    <xf numFmtId="0" fontId="0" fillId="0" borderId="25" xfId="0" applyBorder="1" applyAlignment="1" applyProtection="1">
      <alignment horizontal="center" vertical="center"/>
    </xf>
    <xf numFmtId="38" fontId="0" fillId="0" borderId="25" xfId="0" applyNumberFormat="1" applyFill="1" applyBorder="1" applyProtection="1">
      <alignment vertical="center"/>
    </xf>
    <xf numFmtId="38" fontId="2" fillId="4" borderId="25" xfId="1" applyFont="1" applyFill="1" applyBorder="1" applyProtection="1">
      <alignment vertical="center"/>
    </xf>
    <xf numFmtId="0" fontId="10" fillId="0" borderId="25" xfId="0" applyFont="1" applyBorder="1" applyAlignment="1" applyProtection="1">
      <alignment vertical="center" wrapText="1"/>
    </xf>
    <xf numFmtId="10" fontId="0" fillId="4" borderId="25" xfId="0" applyNumberFormat="1" applyFill="1" applyBorder="1" applyProtection="1">
      <alignment vertical="center"/>
    </xf>
    <xf numFmtId="0" fontId="4" fillId="0" borderId="19" xfId="0" applyFont="1" applyBorder="1" applyAlignment="1" applyProtection="1">
      <alignment horizontal="right" vertical="center"/>
    </xf>
    <xf numFmtId="38" fontId="4" fillId="4" borderId="12" xfId="0" applyNumberFormat="1" applyFont="1" applyFill="1" applyBorder="1" applyProtection="1">
      <alignment vertical="center"/>
    </xf>
    <xf numFmtId="0" fontId="10" fillId="0" borderId="25" xfId="0" applyFont="1" applyBorder="1" applyAlignment="1" applyProtection="1">
      <alignment vertical="center" wrapText="1" shrinkToFit="1"/>
    </xf>
    <xf numFmtId="10" fontId="0" fillId="0" borderId="25" xfId="0" applyNumberFormat="1" applyFill="1" applyBorder="1" applyProtection="1">
      <alignment vertical="center"/>
    </xf>
    <xf numFmtId="186" fontId="2" fillId="4" borderId="25" xfId="1" applyNumberFormat="1" applyFont="1" applyFill="1" applyBorder="1" applyProtection="1">
      <alignment vertical="center"/>
    </xf>
    <xf numFmtId="38" fontId="4" fillId="0" borderId="12" xfId="0" applyNumberFormat="1" applyFont="1" applyBorder="1" applyProtection="1">
      <alignment vertical="center"/>
    </xf>
    <xf numFmtId="38" fontId="0" fillId="4" borderId="25" xfId="0" applyNumberFormat="1" applyFill="1" applyBorder="1" applyProtection="1">
      <alignment vertical="center"/>
    </xf>
    <xf numFmtId="0" fontId="0" fillId="0" borderId="19" xfId="0" applyBorder="1" applyProtection="1">
      <alignment vertical="center"/>
    </xf>
    <xf numFmtId="0" fontId="0" fillId="0" borderId="12" xfId="0" applyBorder="1" applyProtection="1">
      <alignment vertical="center"/>
    </xf>
    <xf numFmtId="0" fontId="5" fillId="0" borderId="25" xfId="0" applyFont="1" applyFill="1" applyBorder="1">
      <alignment vertical="center"/>
    </xf>
    <xf numFmtId="0" fontId="24" fillId="0" borderId="0" xfId="0" applyFont="1">
      <alignment vertical="center"/>
    </xf>
    <xf numFmtId="0" fontId="25" fillId="0" borderId="0" xfId="0" applyFont="1">
      <alignment vertical="center"/>
    </xf>
    <xf numFmtId="0" fontId="26" fillId="0" borderId="0" xfId="2" applyFont="1">
      <alignment vertical="center"/>
    </xf>
    <xf numFmtId="0" fontId="23" fillId="0" borderId="0" xfId="0" applyFont="1">
      <alignment vertical="center"/>
    </xf>
    <xf numFmtId="0" fontId="23" fillId="0" borderId="25" xfId="0" applyFont="1" applyBorder="1">
      <alignment vertical="center"/>
    </xf>
    <xf numFmtId="0" fontId="16" fillId="0" borderId="25" xfId="0" applyFont="1" applyBorder="1">
      <alignment vertical="center"/>
    </xf>
    <xf numFmtId="0" fontId="23" fillId="3" borderId="25" xfId="0" applyFont="1" applyFill="1" applyBorder="1">
      <alignment vertical="center"/>
    </xf>
    <xf numFmtId="0" fontId="16" fillId="0" borderId="0" xfId="0" applyFont="1">
      <alignment vertical="center"/>
    </xf>
    <xf numFmtId="0" fontId="16" fillId="0" borderId="0" xfId="0" applyFont="1" applyFill="1" applyBorder="1">
      <alignment vertical="center"/>
    </xf>
    <xf numFmtId="0" fontId="23" fillId="0" borderId="19" xfId="0" applyFont="1" applyBorder="1" applyAlignment="1">
      <alignment horizontal="right" vertical="center"/>
    </xf>
    <xf numFmtId="0" fontId="23" fillId="0" borderId="12" xfId="0" applyFont="1" applyBorder="1" applyAlignment="1">
      <alignment horizontal="right" vertical="center"/>
    </xf>
    <xf numFmtId="185" fontId="23" fillId="3" borderId="25" xfId="0" applyNumberFormat="1" applyFont="1" applyFill="1" applyBorder="1">
      <alignment vertical="center"/>
    </xf>
    <xf numFmtId="2" fontId="23" fillId="3" borderId="25" xfId="0" applyNumberFormat="1" applyFont="1" applyFill="1" applyBorder="1">
      <alignment vertical="center"/>
    </xf>
    <xf numFmtId="0" fontId="23" fillId="0" borderId="33" xfId="0" applyFont="1" applyBorder="1">
      <alignment vertical="center"/>
    </xf>
    <xf numFmtId="9" fontId="23" fillId="3" borderId="25" xfId="0" applyNumberFormat="1" applyFont="1" applyFill="1" applyBorder="1">
      <alignment vertical="center"/>
    </xf>
    <xf numFmtId="0" fontId="23" fillId="0" borderId="34" xfId="0" applyFont="1" applyBorder="1">
      <alignment vertical="center"/>
    </xf>
    <xf numFmtId="0" fontId="16" fillId="0" borderId="0" xfId="0" applyFont="1" applyAlignment="1">
      <alignment vertical="top" wrapText="1"/>
    </xf>
    <xf numFmtId="0" fontId="29" fillId="0" borderId="25" xfId="0" applyFont="1" applyBorder="1" applyAlignment="1">
      <alignment vertical="center" shrinkToFit="1"/>
    </xf>
    <xf numFmtId="0" fontId="23" fillId="0" borderId="19" xfId="0" applyFont="1" applyBorder="1">
      <alignment vertical="center"/>
    </xf>
    <xf numFmtId="0" fontId="23" fillId="0" borderId="29" xfId="0" applyFont="1" applyBorder="1">
      <alignment vertical="center"/>
    </xf>
    <xf numFmtId="0" fontId="23" fillId="0" borderId="12" xfId="0" applyFont="1" applyBorder="1">
      <alignment vertical="center"/>
    </xf>
    <xf numFmtId="0" fontId="29" fillId="0" borderId="25" xfId="0" applyFont="1" applyBorder="1" applyAlignment="1">
      <alignment vertical="center" wrapText="1"/>
    </xf>
    <xf numFmtId="9" fontId="23" fillId="3" borderId="33" xfId="0" applyNumberFormat="1" applyFont="1" applyFill="1" applyBorder="1">
      <alignment vertical="center"/>
    </xf>
    <xf numFmtId="0" fontId="23" fillId="0" borderId="36" xfId="0" applyFont="1" applyBorder="1">
      <alignment vertical="center"/>
    </xf>
    <xf numFmtId="0" fontId="23" fillId="0" borderId="37" xfId="0" applyFont="1" applyBorder="1">
      <alignment vertical="center"/>
    </xf>
    <xf numFmtId="2" fontId="23" fillId="3" borderId="37" xfId="0" applyNumberFormat="1" applyFont="1" applyFill="1" applyBorder="1">
      <alignment vertical="center"/>
    </xf>
    <xf numFmtId="0" fontId="23" fillId="0" borderId="35" xfId="0" applyFont="1" applyBorder="1">
      <alignment vertical="center"/>
    </xf>
    <xf numFmtId="0" fontId="23" fillId="3" borderId="34" xfId="0" applyFont="1" applyFill="1" applyBorder="1">
      <alignment vertical="center"/>
    </xf>
    <xf numFmtId="0" fontId="23" fillId="0" borderId="41" xfId="0" applyFont="1" applyBorder="1">
      <alignment vertical="center"/>
    </xf>
    <xf numFmtId="0" fontId="23" fillId="0" borderId="33" xfId="0" applyFont="1" applyBorder="1" applyAlignment="1">
      <alignment vertical="center"/>
    </xf>
    <xf numFmtId="0" fontId="23" fillId="0" borderId="0" xfId="0" applyFont="1" applyFill="1" applyBorder="1" applyAlignment="1">
      <alignment vertical="center"/>
    </xf>
    <xf numFmtId="0" fontId="23" fillId="0" borderId="45" xfId="0" applyFont="1" applyBorder="1">
      <alignment vertical="center"/>
    </xf>
    <xf numFmtId="0" fontId="23" fillId="0" borderId="0" xfId="0" applyFont="1" applyFill="1" applyBorder="1">
      <alignment vertical="center"/>
    </xf>
    <xf numFmtId="9" fontId="23" fillId="0" borderId="0" xfId="0" applyNumberFormat="1" applyFont="1" applyFill="1" applyBorder="1">
      <alignment vertical="center"/>
    </xf>
    <xf numFmtId="38" fontId="23" fillId="0" borderId="0" xfId="0" applyNumberFormat="1" applyFont="1">
      <alignment vertical="center"/>
    </xf>
    <xf numFmtId="38" fontId="2" fillId="4" borderId="13" xfId="1" applyFont="1" applyFill="1" applyBorder="1">
      <alignment vertical="center"/>
    </xf>
    <xf numFmtId="0" fontId="4" fillId="4" borderId="21" xfId="0" applyFont="1" applyFill="1" applyBorder="1" applyAlignment="1">
      <alignment vertical="center" wrapText="1"/>
    </xf>
    <xf numFmtId="0" fontId="14" fillId="0" borderId="0" xfId="0" applyFont="1" applyFill="1" applyBorder="1" applyAlignment="1">
      <alignment horizontal="center" vertical="center" wrapText="1" shrinkToFit="1"/>
    </xf>
    <xf numFmtId="0" fontId="7" fillId="0" borderId="0" xfId="0" applyFont="1" applyBorder="1" applyAlignment="1">
      <alignment horizontal="center" vertical="center"/>
    </xf>
    <xf numFmtId="0" fontId="17" fillId="0" borderId="25" xfId="0" applyFont="1" applyBorder="1" applyAlignment="1">
      <alignment horizontal="center" vertical="center" wrapText="1" shrinkToFit="1"/>
    </xf>
    <xf numFmtId="0" fontId="0" fillId="0" borderId="12" xfId="0" applyBorder="1" applyAlignment="1">
      <alignment vertical="center" shrinkToFit="1"/>
    </xf>
    <xf numFmtId="0" fontId="4" fillId="0" borderId="34" xfId="0" applyFont="1" applyBorder="1" applyAlignment="1">
      <alignment vertical="center" wrapText="1" shrinkToFit="1"/>
    </xf>
    <xf numFmtId="0" fontId="0" fillId="0" borderId="34" xfId="0" applyFill="1" applyBorder="1" applyAlignment="1">
      <alignment horizontal="right" vertical="center"/>
    </xf>
    <xf numFmtId="198" fontId="0" fillId="0" borderId="34" xfId="0" applyNumberFormat="1" applyFill="1" applyBorder="1">
      <alignment vertical="center"/>
    </xf>
    <xf numFmtId="211" fontId="5" fillId="3" borderId="25" xfId="0" applyNumberFormat="1" applyFont="1" applyFill="1" applyBorder="1" applyAlignment="1">
      <alignment vertical="center" shrinkToFit="1"/>
    </xf>
    <xf numFmtId="0" fontId="5" fillId="0" borderId="25" xfId="0" applyFont="1" applyBorder="1" applyAlignment="1">
      <alignment vertical="center" shrinkToFit="1"/>
    </xf>
    <xf numFmtId="0" fontId="9" fillId="2" borderId="56" xfId="0" applyFont="1" applyFill="1" applyBorder="1" applyAlignment="1">
      <alignment horizontal="left" vertical="center" shrinkToFit="1"/>
    </xf>
    <xf numFmtId="0" fontId="9" fillId="2" borderId="57" xfId="0" applyFont="1" applyFill="1" applyBorder="1" applyAlignment="1">
      <alignment horizontal="left" vertical="center" shrinkToFit="1"/>
    </xf>
    <xf numFmtId="0" fontId="9" fillId="2" borderId="58" xfId="0" applyFont="1" applyFill="1" applyBorder="1" applyAlignment="1">
      <alignment horizontal="left" vertical="center" shrinkToFit="1"/>
    </xf>
    <xf numFmtId="0" fontId="5" fillId="0" borderId="60" xfId="0" applyFont="1" applyBorder="1">
      <alignment vertical="center"/>
    </xf>
    <xf numFmtId="0" fontId="5" fillId="0" borderId="61" xfId="0" applyFont="1" applyBorder="1">
      <alignment vertical="center"/>
    </xf>
    <xf numFmtId="0" fontId="5" fillId="0" borderId="62" xfId="0" applyFont="1" applyBorder="1">
      <alignment vertical="center"/>
    </xf>
    <xf numFmtId="0" fontId="5" fillId="0" borderId="25" xfId="0" applyFont="1" applyBorder="1" applyAlignment="1">
      <alignment vertical="center"/>
    </xf>
    <xf numFmtId="0" fontId="5" fillId="0" borderId="25" xfId="0" applyFont="1" applyBorder="1" applyAlignment="1">
      <alignment horizontal="left" vertical="center"/>
    </xf>
    <xf numFmtId="2" fontId="5" fillId="0" borderId="0" xfId="0" applyNumberFormat="1" applyFont="1">
      <alignment vertical="center"/>
    </xf>
    <xf numFmtId="0" fontId="6" fillId="0" borderId="25" xfId="0" applyFont="1" applyBorder="1" applyAlignment="1">
      <alignment horizontal="center" vertical="center" wrapText="1"/>
    </xf>
    <xf numFmtId="212" fontId="5" fillId="4" borderId="25" xfId="0" applyNumberFormat="1" applyFont="1" applyFill="1" applyBorder="1" applyAlignment="1">
      <alignment vertical="center" shrinkToFit="1"/>
    </xf>
    <xf numFmtId="213" fontId="0" fillId="0" borderId="0" xfId="0" applyNumberFormat="1">
      <alignment vertical="center"/>
    </xf>
    <xf numFmtId="0" fontId="3" fillId="3" borderId="25" xfId="0" applyFont="1" applyFill="1" applyBorder="1" applyAlignment="1" applyProtection="1">
      <alignment vertical="center" shrinkToFit="1"/>
      <protection locked="0"/>
    </xf>
    <xf numFmtId="9" fontId="9" fillId="3" borderId="17" xfId="0" applyNumberFormat="1" applyFont="1" applyFill="1" applyBorder="1" applyAlignment="1" applyProtection="1">
      <alignment horizontal="right" vertical="center" shrinkToFit="1"/>
      <protection locked="0"/>
    </xf>
    <xf numFmtId="9" fontId="9" fillId="3" borderId="18" xfId="0" applyNumberFormat="1" applyFont="1" applyFill="1" applyBorder="1" applyAlignment="1" applyProtection="1">
      <alignment horizontal="right" vertical="center" shrinkToFit="1"/>
      <protection locked="0"/>
    </xf>
    <xf numFmtId="9" fontId="9" fillId="3" borderId="59" xfId="0" applyNumberFormat="1" applyFont="1" applyFill="1" applyBorder="1" applyAlignment="1" applyProtection="1">
      <alignment horizontal="right" vertical="center" shrinkToFit="1"/>
      <protection locked="0"/>
    </xf>
    <xf numFmtId="178" fontId="5" fillId="3" borderId="38" xfId="0" applyNumberFormat="1" applyFont="1" applyFill="1" applyBorder="1" applyAlignment="1" applyProtection="1">
      <alignment vertical="center"/>
      <protection locked="0"/>
    </xf>
    <xf numFmtId="177" fontId="5" fillId="3" borderId="39" xfId="0" applyNumberFormat="1" applyFont="1" applyFill="1" applyBorder="1" applyAlignment="1" applyProtection="1">
      <alignment vertical="center"/>
      <protection locked="0"/>
    </xf>
    <xf numFmtId="204" fontId="5" fillId="3" borderId="39" xfId="0" applyNumberFormat="1" applyFont="1" applyFill="1" applyBorder="1" applyAlignment="1" applyProtection="1">
      <alignment vertical="center"/>
      <protection locked="0"/>
    </xf>
    <xf numFmtId="176" fontId="5" fillId="3" borderId="39" xfId="1" applyNumberFormat="1" applyFont="1" applyFill="1" applyBorder="1" applyAlignment="1" applyProtection="1">
      <alignment vertical="center"/>
      <protection locked="0"/>
    </xf>
    <xf numFmtId="0" fontId="5" fillId="3" borderId="39" xfId="0" applyFont="1" applyFill="1" applyBorder="1" applyAlignment="1" applyProtection="1">
      <alignment horizontal="right" vertical="center"/>
      <protection locked="0"/>
    </xf>
    <xf numFmtId="9" fontId="5" fillId="3" borderId="39" xfId="0" applyNumberFormat="1" applyFont="1" applyFill="1" applyBorder="1" applyAlignment="1" applyProtection="1">
      <alignment vertical="center"/>
      <protection locked="0"/>
    </xf>
    <xf numFmtId="179" fontId="5" fillId="3" borderId="39" xfId="0" applyNumberFormat="1" applyFont="1" applyFill="1" applyBorder="1" applyAlignment="1" applyProtection="1">
      <alignment vertical="center"/>
      <protection locked="0"/>
    </xf>
    <xf numFmtId="180" fontId="5" fillId="3" borderId="39" xfId="0" applyNumberFormat="1" applyFont="1" applyFill="1" applyBorder="1" applyAlignment="1" applyProtection="1">
      <alignment vertical="center"/>
      <protection locked="0"/>
    </xf>
    <xf numFmtId="197" fontId="5" fillId="3" borderId="40" xfId="0" applyNumberFormat="1" applyFont="1" applyFill="1" applyBorder="1" applyProtection="1">
      <alignment vertical="center"/>
      <protection locked="0"/>
    </xf>
    <xf numFmtId="38" fontId="5" fillId="3" borderId="38" xfId="1" applyFont="1" applyFill="1" applyBorder="1" applyProtection="1">
      <alignment vertical="center"/>
      <protection locked="0"/>
    </xf>
    <xf numFmtId="38" fontId="5" fillId="3" borderId="39" xfId="1" applyFont="1" applyFill="1" applyBorder="1" applyProtection="1">
      <alignment vertical="center"/>
      <protection locked="0"/>
    </xf>
    <xf numFmtId="38" fontId="5" fillId="3" borderId="40" xfId="1" applyFont="1" applyFill="1" applyBorder="1" applyProtection="1">
      <alignment vertical="center"/>
      <protection locked="0"/>
    </xf>
    <xf numFmtId="211" fontId="5" fillId="3" borderId="25" xfId="0" applyNumberFormat="1" applyFont="1" applyFill="1" applyBorder="1" applyAlignment="1" applyProtection="1">
      <alignment vertical="center" shrinkToFit="1"/>
      <protection locked="0"/>
    </xf>
    <xf numFmtId="0" fontId="5" fillId="3" borderId="25" xfId="0" applyFont="1" applyFill="1" applyBorder="1" applyProtection="1">
      <alignment vertical="center"/>
      <protection locked="0"/>
    </xf>
    <xf numFmtId="9" fontId="0" fillId="3" borderId="25" xfId="0" applyNumberFormat="1" applyFill="1" applyBorder="1" applyProtection="1">
      <alignment vertical="center"/>
      <protection locked="0"/>
    </xf>
    <xf numFmtId="0" fontId="0" fillId="3" borderId="3" xfId="0" applyFont="1" applyFill="1" applyBorder="1" applyAlignment="1" applyProtection="1">
      <alignment vertical="center" shrinkToFit="1"/>
      <protection locked="0"/>
    </xf>
    <xf numFmtId="0" fontId="0" fillId="3" borderId="4" xfId="0" applyFont="1" applyFill="1" applyBorder="1" applyAlignment="1" applyProtection="1">
      <alignment vertical="center" shrinkToFit="1"/>
      <protection locked="0"/>
    </xf>
    <xf numFmtId="2" fontId="0" fillId="3" borderId="4" xfId="0" applyNumberFormat="1" applyFont="1" applyFill="1" applyBorder="1" applyAlignment="1" applyProtection="1">
      <alignment vertical="center" shrinkToFit="1"/>
      <protection locked="0"/>
    </xf>
    <xf numFmtId="0" fontId="0" fillId="3" borderId="4" xfId="0" applyFont="1" applyFill="1" applyBorder="1" applyAlignment="1" applyProtection="1">
      <alignment horizontal="center" vertical="center" shrinkToFit="1"/>
      <protection locked="0"/>
    </xf>
    <xf numFmtId="38" fontId="0" fillId="3" borderId="4" xfId="1" applyFont="1" applyFill="1" applyBorder="1" applyAlignment="1" applyProtection="1">
      <alignment vertical="center" shrinkToFit="1"/>
      <protection locked="0"/>
    </xf>
    <xf numFmtId="0" fontId="23" fillId="3" borderId="20" xfId="0" applyFont="1" applyFill="1" applyBorder="1" applyAlignment="1" applyProtection="1">
      <alignment vertical="center" shrinkToFit="1"/>
      <protection locked="0"/>
    </xf>
    <xf numFmtId="0" fontId="0" fillId="3" borderId="17" xfId="0" applyFont="1" applyFill="1" applyBorder="1" applyAlignment="1" applyProtection="1">
      <alignment vertical="center" shrinkToFit="1"/>
      <protection locked="0"/>
    </xf>
    <xf numFmtId="0" fontId="0" fillId="3" borderId="1" xfId="0" applyFont="1" applyFill="1" applyBorder="1" applyAlignment="1" applyProtection="1">
      <alignment vertical="center" shrinkToFit="1"/>
      <protection locked="0"/>
    </xf>
    <xf numFmtId="0" fontId="0" fillId="3" borderId="2" xfId="0" applyFont="1" applyFill="1" applyBorder="1" applyAlignment="1" applyProtection="1">
      <alignment vertical="center" shrinkToFit="1"/>
      <protection locked="0"/>
    </xf>
    <xf numFmtId="0" fontId="0" fillId="3" borderId="2" xfId="0" applyFont="1" applyFill="1" applyBorder="1" applyAlignment="1" applyProtection="1">
      <alignment horizontal="center" vertical="center" shrinkToFit="1"/>
      <protection locked="0"/>
    </xf>
    <xf numFmtId="0" fontId="23" fillId="3" borderId="21" xfId="0" applyFont="1" applyFill="1" applyBorder="1" applyAlignment="1" applyProtection="1">
      <alignment vertical="center" shrinkToFit="1"/>
      <protection locked="0"/>
    </xf>
    <xf numFmtId="0" fontId="0" fillId="3" borderId="18" xfId="0" applyFont="1" applyFill="1" applyBorder="1" applyAlignment="1" applyProtection="1">
      <alignment vertical="center" shrinkToFit="1"/>
      <protection locked="0"/>
    </xf>
    <xf numFmtId="0" fontId="0" fillId="3" borderId="7" xfId="0" applyFont="1" applyFill="1" applyBorder="1" applyAlignment="1" applyProtection="1">
      <alignment vertical="center" shrinkToFit="1"/>
      <protection locked="0"/>
    </xf>
    <xf numFmtId="0" fontId="0" fillId="3" borderId="8" xfId="0" applyFont="1" applyFill="1" applyBorder="1" applyAlignment="1" applyProtection="1">
      <alignment vertical="center" shrinkToFit="1"/>
      <protection locked="0"/>
    </xf>
    <xf numFmtId="9" fontId="0" fillId="3" borderId="8" xfId="0" applyNumberFormat="1" applyFont="1" applyFill="1" applyBorder="1" applyAlignment="1" applyProtection="1">
      <alignment vertical="center" shrinkToFit="1"/>
      <protection locked="0"/>
    </xf>
    <xf numFmtId="0" fontId="0" fillId="3" borderId="8" xfId="0" applyFont="1" applyFill="1" applyBorder="1" applyAlignment="1" applyProtection="1">
      <alignment horizontal="center" vertical="center" shrinkToFit="1"/>
      <protection locked="0"/>
    </xf>
    <xf numFmtId="38" fontId="0" fillId="3" borderId="8" xfId="1" applyFont="1" applyFill="1" applyBorder="1" applyAlignment="1" applyProtection="1">
      <alignment vertical="center" shrinkToFit="1"/>
      <protection locked="0"/>
    </xf>
    <xf numFmtId="0" fontId="0" fillId="3" borderId="21" xfId="0" applyFont="1" applyFill="1" applyBorder="1" applyAlignment="1" applyProtection="1">
      <alignment horizontal="right" vertical="center" shrinkToFit="1"/>
      <protection locked="0"/>
    </xf>
    <xf numFmtId="38" fontId="0" fillId="3" borderId="18" xfId="0" applyNumberFormat="1" applyFont="1" applyFill="1" applyBorder="1" applyAlignment="1" applyProtection="1">
      <alignment vertical="center" shrinkToFit="1"/>
      <protection locked="0"/>
    </xf>
    <xf numFmtId="0" fontId="0" fillId="3" borderId="9" xfId="0" applyFont="1"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38" fontId="0" fillId="3" borderId="54" xfId="1" applyFont="1" applyFill="1" applyBorder="1" applyAlignment="1" applyProtection="1">
      <alignment vertical="center" shrinkToFit="1"/>
      <protection locked="0"/>
    </xf>
    <xf numFmtId="0" fontId="0" fillId="3" borderId="53" xfId="0" applyFont="1" applyFill="1" applyBorder="1" applyAlignment="1" applyProtection="1">
      <alignment horizontal="right" vertical="center" shrinkToFit="1"/>
      <protection locked="0"/>
    </xf>
    <xf numFmtId="38" fontId="0" fillId="3" borderId="47" xfId="0" applyNumberFormat="1" applyFont="1" applyFill="1" applyBorder="1" applyAlignment="1" applyProtection="1">
      <alignment vertical="center" shrinkToFit="1"/>
      <protection locked="0"/>
    </xf>
    <xf numFmtId="2" fontId="0" fillId="3" borderId="4" xfId="0" applyNumberFormat="1" applyFill="1" applyBorder="1" applyAlignment="1" applyProtection="1">
      <alignment vertical="center" shrinkToFit="1"/>
      <protection locked="0"/>
    </xf>
    <xf numFmtId="0" fontId="0" fillId="3" borderId="4" xfId="0" applyFill="1" applyBorder="1" applyAlignment="1" applyProtection="1">
      <alignment horizontal="center" vertical="center" shrinkToFit="1"/>
      <protection locked="0"/>
    </xf>
    <xf numFmtId="38" fontId="0" fillId="3" borderId="9" xfId="1" applyFont="1" applyFill="1" applyBorder="1" applyAlignment="1" applyProtection="1">
      <alignment vertical="center" shrinkToFit="1"/>
      <protection locked="0"/>
    </xf>
    <xf numFmtId="0" fontId="0" fillId="3" borderId="18" xfId="0" applyFill="1" applyBorder="1" applyAlignment="1" applyProtection="1">
      <alignment vertical="center" shrinkToFit="1"/>
      <protection locked="0"/>
    </xf>
    <xf numFmtId="2" fontId="0" fillId="3" borderId="15" xfId="0" applyNumberFormat="1" applyFill="1" applyBorder="1" applyAlignment="1" applyProtection="1">
      <alignment vertical="center" shrinkToFit="1"/>
      <protection locked="0"/>
    </xf>
    <xf numFmtId="0" fontId="0" fillId="3" borderId="2" xfId="0" applyFill="1" applyBorder="1" applyAlignment="1" applyProtection="1">
      <alignment horizontal="center" vertical="center" shrinkToFit="1"/>
      <protection locked="0"/>
    </xf>
    <xf numFmtId="9" fontId="0" fillId="3" borderId="2" xfId="0" applyNumberFormat="1" applyFill="1" applyBorder="1" applyAlignment="1" applyProtection="1">
      <alignment vertical="center" shrinkToFit="1"/>
      <protection locked="0"/>
    </xf>
    <xf numFmtId="0" fontId="0" fillId="3" borderId="54" xfId="0" applyFont="1" applyFill="1" applyBorder="1" applyAlignment="1" applyProtection="1">
      <alignment horizontal="center" vertical="center" shrinkToFit="1"/>
      <protection locked="0"/>
    </xf>
    <xf numFmtId="0" fontId="0" fillId="3" borderId="21" xfId="0" applyFill="1" applyBorder="1" applyAlignment="1" applyProtection="1">
      <alignment horizontal="right" vertical="center" shrinkToFit="1"/>
      <protection locked="0"/>
    </xf>
    <xf numFmtId="38" fontId="0" fillId="3" borderId="18" xfId="0" applyNumberFormat="1" applyFill="1" applyBorder="1" applyAlignment="1" applyProtection="1">
      <alignment vertical="center" shrinkToFit="1"/>
      <protection locked="0"/>
    </xf>
    <xf numFmtId="9" fontId="0" fillId="3" borderId="15" xfId="0" applyNumberFormat="1" applyFont="1" applyFill="1" applyBorder="1" applyAlignment="1" applyProtection="1">
      <alignment vertical="center" shrinkToFit="1"/>
      <protection locked="0"/>
    </xf>
    <xf numFmtId="0" fontId="0" fillId="3" borderId="13" xfId="0" applyFont="1" applyFill="1" applyBorder="1" applyAlignment="1" applyProtection="1">
      <alignment horizontal="right" vertical="center" shrinkToFit="1"/>
      <protection locked="0"/>
    </xf>
    <xf numFmtId="38" fontId="0" fillId="3" borderId="14" xfId="0" applyNumberFormat="1" applyFont="1" applyFill="1" applyBorder="1" applyAlignment="1" applyProtection="1">
      <alignment vertical="center" shrinkToFit="1"/>
      <protection locked="0"/>
    </xf>
    <xf numFmtId="0" fontId="0" fillId="3" borderId="10" xfId="0" applyFont="1" applyFill="1" applyBorder="1" applyAlignment="1" applyProtection="1">
      <alignment vertical="center" shrinkToFit="1"/>
      <protection locked="0"/>
    </xf>
    <xf numFmtId="0" fontId="3" fillId="3" borderId="0" xfId="0" applyFont="1" applyFill="1" applyProtection="1">
      <alignment vertical="center"/>
      <protection locked="0"/>
    </xf>
    <xf numFmtId="0" fontId="0" fillId="0" borderId="0" xfId="0" applyProtection="1">
      <alignment vertical="center"/>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xf>
    <xf numFmtId="0" fontId="3" fillId="0" borderId="0" xfId="0" applyFont="1" applyProtection="1">
      <alignment vertical="center"/>
    </xf>
    <xf numFmtId="0" fontId="3" fillId="0" borderId="0" xfId="0" applyFont="1" applyFill="1" applyProtection="1">
      <alignment vertical="center"/>
    </xf>
    <xf numFmtId="0" fontId="3" fillId="0" borderId="0" xfId="0" applyFont="1" applyFill="1" applyAlignment="1" applyProtection="1">
      <alignment vertical="center" shrinkToFit="1"/>
    </xf>
    <xf numFmtId="2" fontId="0" fillId="0" borderId="0" xfId="0" applyNumberFormat="1" applyProtection="1">
      <alignmen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Protection="1">
      <alignment vertical="center"/>
    </xf>
    <xf numFmtId="38" fontId="2" fillId="0" borderId="6" xfId="1" applyFont="1" applyBorder="1" applyProtection="1">
      <alignment vertical="center"/>
    </xf>
    <xf numFmtId="38" fontId="0" fillId="4" borderId="6" xfId="1" applyFont="1" applyFill="1" applyBorder="1" applyProtection="1">
      <alignment vertical="center"/>
    </xf>
    <xf numFmtId="0" fontId="0" fillId="0" borderId="11" xfId="0" applyBorder="1" applyProtection="1">
      <alignment vertical="center"/>
    </xf>
    <xf numFmtId="184" fontId="0" fillId="3" borderId="25" xfId="0" applyNumberFormat="1" applyFill="1" applyBorder="1" applyProtection="1">
      <alignment vertical="center"/>
      <protection locked="0"/>
    </xf>
    <xf numFmtId="208" fontId="0" fillId="3" borderId="25" xfId="0" applyNumberFormat="1" applyFill="1" applyBorder="1" applyProtection="1">
      <alignment vertical="center"/>
      <protection locked="0"/>
    </xf>
    <xf numFmtId="207" fontId="0" fillId="3" borderId="25" xfId="0" applyNumberFormat="1" applyFill="1" applyBorder="1" applyProtection="1">
      <alignment vertical="center"/>
      <protection locked="0"/>
    </xf>
    <xf numFmtId="209" fontId="0" fillId="3" borderId="25" xfId="0" applyNumberFormat="1" applyFill="1" applyBorder="1" applyAlignment="1" applyProtection="1">
      <alignment vertical="center" shrinkToFit="1"/>
      <protection locked="0"/>
    </xf>
    <xf numFmtId="205" fontId="0" fillId="3" borderId="25" xfId="0" applyNumberFormat="1" applyFill="1" applyBorder="1" applyAlignment="1" applyProtection="1">
      <alignment vertical="center" shrinkToFit="1"/>
      <protection locked="0"/>
    </xf>
    <xf numFmtId="195" fontId="0" fillId="3" borderId="25" xfId="0" applyNumberFormat="1" applyFill="1" applyBorder="1" applyProtection="1">
      <alignment vertical="center"/>
      <protection locked="0"/>
    </xf>
    <xf numFmtId="200" fontId="5" fillId="4" borderId="25" xfId="0" applyNumberFormat="1" applyFont="1" applyFill="1" applyBorder="1">
      <alignment vertical="center"/>
    </xf>
    <xf numFmtId="5" fontId="5" fillId="0" borderId="25" xfId="0" applyNumberFormat="1" applyFont="1" applyBorder="1">
      <alignment vertical="center"/>
    </xf>
    <xf numFmtId="0" fontId="5" fillId="0" borderId="25" xfId="0" applyFont="1" applyBorder="1" applyAlignment="1">
      <alignment vertical="center" wrapText="1"/>
    </xf>
    <xf numFmtId="0" fontId="0" fillId="0" borderId="0" xfId="0" applyAlignment="1">
      <alignment vertical="center" wrapText="1"/>
    </xf>
    <xf numFmtId="0" fontId="6" fillId="0" borderId="24" xfId="0" applyFont="1" applyBorder="1" applyAlignment="1">
      <alignment horizontal="left" vertical="center" wrapText="1"/>
    </xf>
    <xf numFmtId="0" fontId="6" fillId="0" borderId="0" xfId="0" applyFont="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3" borderId="0" xfId="0" applyFont="1" applyFill="1" applyAlignment="1" applyProtection="1">
      <alignment horizontal="left" vertical="center"/>
      <protection locked="0"/>
    </xf>
    <xf numFmtId="0" fontId="5" fillId="0" borderId="0" xfId="0" applyFont="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8" fillId="3" borderId="0" xfId="0" applyFont="1" applyFill="1" applyAlignment="1" applyProtection="1">
      <alignment horizontal="center" vertical="center"/>
      <protection locked="0"/>
    </xf>
    <xf numFmtId="0" fontId="4" fillId="0" borderId="19" xfId="0" applyFont="1" applyBorder="1" applyAlignment="1" applyProtection="1">
      <alignment horizontal="center" vertical="center"/>
    </xf>
    <xf numFmtId="0" fontId="4" fillId="0" borderId="12" xfId="0" applyFont="1" applyBorder="1" applyAlignment="1" applyProtection="1">
      <alignment horizontal="center" vertical="center"/>
    </xf>
    <xf numFmtId="0" fontId="7" fillId="0" borderId="0" xfId="0" applyFont="1" applyAlignment="1">
      <alignment horizontal="center" vertical="center"/>
    </xf>
    <xf numFmtId="0" fontId="0" fillId="0" borderId="25" xfId="0" applyBorder="1" applyAlignment="1">
      <alignment horizontal="center" vertical="center"/>
    </xf>
    <xf numFmtId="0" fontId="0" fillId="0" borderId="25" xfId="0" applyBorder="1" applyAlignment="1" applyProtection="1">
      <alignment horizontal="center" vertical="center"/>
    </xf>
    <xf numFmtId="0" fontId="0" fillId="0" borderId="33" xfId="0" applyBorder="1" applyAlignment="1" applyProtection="1">
      <alignment horizontal="left" vertical="center"/>
    </xf>
    <xf numFmtId="0" fontId="0" fillId="0" borderId="34" xfId="0" applyBorder="1" applyAlignment="1" applyProtection="1">
      <alignment horizontal="left" vertical="center"/>
    </xf>
    <xf numFmtId="0" fontId="3" fillId="0" borderId="0" xfId="0" applyFont="1" applyAlignment="1">
      <alignment horizontal="left" vertical="center" wrapText="1" shrinkToFit="1"/>
    </xf>
    <xf numFmtId="0" fontId="3" fillId="0" borderId="16" xfId="0" applyFont="1" applyBorder="1" applyAlignment="1">
      <alignment horizontal="left" vertical="center" wrapText="1" shrinkToFit="1"/>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6"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3" fillId="4" borderId="0" xfId="0" applyFont="1" applyFill="1" applyAlignment="1">
      <alignment horizontal="left" vertical="center"/>
    </xf>
    <xf numFmtId="0" fontId="0" fillId="0" borderId="55" xfId="0" applyBorder="1" applyAlignment="1">
      <alignment horizontal="center" vertical="center"/>
    </xf>
    <xf numFmtId="0" fontId="3" fillId="0" borderId="0" xfId="0" applyFont="1" applyFill="1" applyAlignment="1">
      <alignment horizontal="center" vertical="center" shrinkToFit="1"/>
    </xf>
    <xf numFmtId="0" fontId="7" fillId="0" borderId="0" xfId="0" applyFont="1" applyAlignment="1" applyProtection="1">
      <alignment horizontal="center" vertical="center"/>
    </xf>
    <xf numFmtId="0" fontId="0" fillId="0" borderId="6" xfId="0" applyBorder="1" applyAlignment="1" applyProtection="1">
      <alignment horizontal="center" vertical="center"/>
    </xf>
    <xf numFmtId="0" fontId="0" fillId="0" borderId="30" xfId="0" applyBorder="1" applyAlignment="1" applyProtection="1">
      <alignment horizontal="center" vertical="center"/>
    </xf>
    <xf numFmtId="0" fontId="0" fillId="3" borderId="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16" fillId="0" borderId="32" xfId="0" applyFont="1" applyBorder="1" applyAlignment="1">
      <alignment horizontal="left" vertical="center" wrapText="1"/>
    </xf>
    <xf numFmtId="0" fontId="16" fillId="0" borderId="32" xfId="0" applyFont="1" applyBorder="1" applyAlignment="1">
      <alignment horizontal="left" vertical="top" wrapText="1"/>
    </xf>
    <xf numFmtId="0" fontId="16" fillId="0" borderId="0" xfId="0" applyFont="1" applyAlignment="1">
      <alignment horizontal="left" vertical="top" wrapText="1"/>
    </xf>
    <xf numFmtId="0" fontId="23" fillId="0" borderId="25" xfId="0" applyFont="1" applyBorder="1" applyAlignment="1">
      <alignment horizontal="center" vertical="center"/>
    </xf>
    <xf numFmtId="0" fontId="23" fillId="0" borderId="33"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0" fontId="16" fillId="0" borderId="3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3" fillId="0" borderId="19"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CCFFFF"/>
      <color rgb="FFFFCCFF"/>
      <color rgb="FF53D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38100</xdr:colOff>
      <xdr:row>0</xdr:row>
      <xdr:rowOff>57151</xdr:rowOff>
    </xdr:from>
    <xdr:to>
      <xdr:col>15</xdr:col>
      <xdr:colOff>200025</xdr:colOff>
      <xdr:row>18</xdr:row>
      <xdr:rowOff>47625</xdr:rowOff>
    </xdr:to>
    <xdr:sp macro="" textlink="">
      <xdr:nvSpPr>
        <xdr:cNvPr id="3" name="吹き出し: 角を丸めた四角形 1">
          <a:extLst>
            <a:ext uri="{FF2B5EF4-FFF2-40B4-BE49-F238E27FC236}">
              <a16:creationId xmlns:a16="http://schemas.microsoft.com/office/drawing/2014/main" id="{D1EA8E85-6147-4E3B-879A-5AF8CC59A36D}"/>
            </a:ext>
          </a:extLst>
        </xdr:cNvPr>
        <xdr:cNvSpPr/>
      </xdr:nvSpPr>
      <xdr:spPr>
        <a:xfrm>
          <a:off x="9791700" y="57151"/>
          <a:ext cx="4276725" cy="5048249"/>
        </a:xfrm>
        <a:prstGeom prst="wedgeRoundRectCallout">
          <a:avLst>
            <a:gd name="adj1" fmla="val -66040"/>
            <a:gd name="adj2" fmla="val -2284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600">
              <a:solidFill>
                <a:schemeClr val="tx1"/>
              </a:solidFill>
            </a:rPr>
            <a:t>搬出間伐区域以外の区域の作業を一緒の物件として発注する場合（直径１</a:t>
          </a:r>
          <a:r>
            <a:rPr kumimoji="1" lang="en-US" altLang="ja-JP" sz="1600">
              <a:solidFill>
                <a:schemeClr val="tx1"/>
              </a:solidFill>
            </a:rPr>
            <a:t>km</a:t>
          </a:r>
          <a:r>
            <a:rPr kumimoji="1" lang="ja-JP" altLang="en-US" sz="1600">
              <a:solidFill>
                <a:schemeClr val="tx1"/>
              </a:solidFill>
            </a:rPr>
            <a:t>以内、以下イメージ）や搬出間伐区域内で伐倒、造材、集材及び森林作業道作設以外に必要な作業がある場合は、「作業工程表」シートの工程を参考に手入力で直接事業費を入力してください。</a:t>
          </a:r>
          <a:endParaRPr kumimoji="1" lang="en-US" altLang="ja-JP" sz="1600">
            <a:solidFill>
              <a:schemeClr val="tx1"/>
            </a:solidFill>
          </a:endParaRPr>
        </a:p>
      </xdr:txBody>
    </xdr:sp>
    <xdr:clientData/>
  </xdr:twoCellAnchor>
  <xdr:twoCellAnchor editAs="oneCell">
    <xdr:from>
      <xdr:col>10</xdr:col>
      <xdr:colOff>53637</xdr:colOff>
      <xdr:row>7</xdr:row>
      <xdr:rowOff>257175</xdr:rowOff>
    </xdr:from>
    <xdr:to>
      <xdr:col>14</xdr:col>
      <xdr:colOff>371474</xdr:colOff>
      <xdr:row>17</xdr:row>
      <xdr:rowOff>276225</xdr:rowOff>
    </xdr:to>
    <xdr:pic>
      <xdr:nvPicPr>
        <xdr:cNvPr id="4" name="図 3">
          <a:extLst>
            <a:ext uri="{FF2B5EF4-FFF2-40B4-BE49-F238E27FC236}">
              <a16:creationId xmlns:a16="http://schemas.microsoft.com/office/drawing/2014/main" id="{878DB280-D84D-4F4C-B1EB-972C81B4BE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493037" y="1962150"/>
          <a:ext cx="3061037" cy="30670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rinya.maff.go.jp/j/seibi/sinrin_seibi/attach/pdf/index-18.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28"/>
  <sheetViews>
    <sheetView showGridLines="0" tabSelected="1" view="pageBreakPreview" zoomScaleNormal="100" zoomScaleSheetLayoutView="100" workbookViewId="0">
      <selection activeCell="H13" sqref="H13"/>
    </sheetView>
  </sheetViews>
  <sheetFormatPr defaultColWidth="9" defaultRowHeight="14.25" x14ac:dyDescent="0.15"/>
  <cols>
    <col min="1" max="1" width="15.375" style="22" customWidth="1"/>
    <col min="2" max="2" width="15.625" style="22" customWidth="1"/>
    <col min="3" max="3" width="13.125" style="22" customWidth="1"/>
    <col min="4" max="4" width="13.5" style="22" customWidth="1"/>
    <col min="5" max="5" width="10.75" style="22" customWidth="1"/>
    <col min="6" max="6" width="16.875" style="22" customWidth="1"/>
    <col min="7" max="7" width="3.375" style="22" customWidth="1"/>
    <col min="8" max="16384" width="9" style="22"/>
  </cols>
  <sheetData>
    <row r="1" spans="1:12" ht="21" x14ac:dyDescent="0.15">
      <c r="A1" s="353" t="s">
        <v>140</v>
      </c>
      <c r="B1" s="353"/>
      <c r="C1" s="353"/>
      <c r="D1" s="353"/>
      <c r="E1" s="353"/>
      <c r="F1" s="353"/>
    </row>
    <row r="2" spans="1:12" ht="27" customHeight="1" x14ac:dyDescent="0.15"/>
    <row r="3" spans="1:12" x14ac:dyDescent="0.15">
      <c r="A3" s="22" t="s">
        <v>0</v>
      </c>
      <c r="B3" s="349" t="s">
        <v>118</v>
      </c>
      <c r="C3" s="349"/>
      <c r="D3" s="349"/>
      <c r="E3" s="349"/>
      <c r="F3" s="349"/>
    </row>
    <row r="6" spans="1:12" x14ac:dyDescent="0.15">
      <c r="A6" s="22" t="s">
        <v>1</v>
      </c>
      <c r="B6" s="349" t="s">
        <v>210</v>
      </c>
      <c r="C6" s="349"/>
      <c r="D6" s="349"/>
      <c r="E6" s="349"/>
      <c r="F6" s="349"/>
    </row>
    <row r="9" spans="1:12" ht="18.75" customHeight="1" x14ac:dyDescent="0.15">
      <c r="A9" s="62" t="s">
        <v>125</v>
      </c>
      <c r="E9" s="120" t="s">
        <v>144</v>
      </c>
      <c r="F9" s="60"/>
    </row>
    <row r="10" spans="1:12" ht="21.75" customHeight="1" x14ac:dyDescent="0.15">
      <c r="A10" s="253" t="s">
        <v>114</v>
      </c>
      <c r="B10" s="250" t="s">
        <v>2</v>
      </c>
      <c r="C10" s="263">
        <v>0.3</v>
      </c>
      <c r="E10" s="118" t="s">
        <v>43</v>
      </c>
      <c r="F10" s="121" t="s">
        <v>143</v>
      </c>
      <c r="G10" s="61"/>
    </row>
    <row r="11" spans="1:12" ht="21.75" customHeight="1" x14ac:dyDescent="0.15">
      <c r="A11" s="254"/>
      <c r="B11" s="251" t="s">
        <v>3</v>
      </c>
      <c r="C11" s="264">
        <v>0.5</v>
      </c>
      <c r="E11" s="119" t="s">
        <v>44</v>
      </c>
      <c r="F11" s="262" t="s">
        <v>113</v>
      </c>
      <c r="G11" s="61"/>
    </row>
    <row r="12" spans="1:12" ht="21.75" customHeight="1" x14ac:dyDescent="0.15">
      <c r="A12" s="255"/>
      <c r="B12" s="252" t="s">
        <v>4</v>
      </c>
      <c r="C12" s="265">
        <v>0.2</v>
      </c>
      <c r="E12" s="119" t="s">
        <v>45</v>
      </c>
      <c r="F12" s="262" t="s">
        <v>97</v>
      </c>
      <c r="G12" s="61"/>
      <c r="H12" s="56"/>
      <c r="I12" s="55"/>
      <c r="J12" s="63" t="s">
        <v>6</v>
      </c>
      <c r="K12" s="343" t="s">
        <v>7</v>
      </c>
      <c r="L12" s="344"/>
    </row>
    <row r="13" spans="1:12" ht="21.75" customHeight="1" x14ac:dyDescent="0.15">
      <c r="A13" s="347" t="s">
        <v>5</v>
      </c>
      <c r="B13" s="348"/>
      <c r="C13" s="266">
        <v>40</v>
      </c>
      <c r="E13" s="138"/>
      <c r="G13" s="61"/>
      <c r="H13" s="56"/>
      <c r="I13" s="350"/>
      <c r="J13" s="350"/>
      <c r="K13" s="25"/>
      <c r="L13" s="25"/>
    </row>
    <row r="14" spans="1:12" ht="21.75" customHeight="1" x14ac:dyDescent="0.15">
      <c r="A14" s="345" t="s">
        <v>182</v>
      </c>
      <c r="B14" s="346"/>
      <c r="C14" s="267">
        <v>10</v>
      </c>
      <c r="E14" s="120" t="s">
        <v>268</v>
      </c>
      <c r="F14" s="60"/>
      <c r="G14" s="61"/>
      <c r="H14" s="56"/>
      <c r="I14" s="55"/>
      <c r="J14" s="95" t="s">
        <v>9</v>
      </c>
      <c r="K14" s="343" t="s">
        <v>10</v>
      </c>
      <c r="L14" s="344"/>
    </row>
    <row r="15" spans="1:12" ht="21.75" customHeight="1" x14ac:dyDescent="0.15">
      <c r="A15" s="345" t="s">
        <v>183</v>
      </c>
      <c r="B15" s="346"/>
      <c r="C15" s="268">
        <v>20</v>
      </c>
      <c r="E15" s="118" t="s">
        <v>257</v>
      </c>
      <c r="F15" s="278">
        <v>45139</v>
      </c>
      <c r="G15" s="61"/>
      <c r="H15" s="56"/>
      <c r="I15" s="55"/>
      <c r="J15" s="161"/>
      <c r="K15" s="162"/>
      <c r="L15" s="155"/>
    </row>
    <row r="16" spans="1:12" ht="21.75" customHeight="1" x14ac:dyDescent="0.15">
      <c r="A16" s="345" t="s">
        <v>8</v>
      </c>
      <c r="B16" s="346"/>
      <c r="C16" s="269">
        <v>1500</v>
      </c>
      <c r="E16" s="119" t="s">
        <v>258</v>
      </c>
      <c r="F16" s="278">
        <v>45322</v>
      </c>
      <c r="G16" s="61"/>
    </row>
    <row r="17" spans="1:15" ht="21.75" customHeight="1" x14ac:dyDescent="0.15">
      <c r="A17" s="345" t="s">
        <v>11</v>
      </c>
      <c r="B17" s="346"/>
      <c r="C17" s="270" t="s">
        <v>207</v>
      </c>
      <c r="D17" s="23"/>
      <c r="E17" s="249" t="s">
        <v>259</v>
      </c>
      <c r="F17" s="279" t="s">
        <v>263</v>
      </c>
      <c r="G17" s="61"/>
      <c r="I17" t="s">
        <v>117</v>
      </c>
      <c r="L17" t="s">
        <v>117</v>
      </c>
    </row>
    <row r="18" spans="1:15" ht="21.75" customHeight="1" x14ac:dyDescent="0.15">
      <c r="A18" s="345" t="s">
        <v>12</v>
      </c>
      <c r="B18" s="346"/>
      <c r="C18" s="271">
        <v>0.3</v>
      </c>
      <c r="D18" s="183"/>
      <c r="E18" s="256" t="s">
        <v>265</v>
      </c>
      <c r="F18" s="339">
        <f>F16-F15+1</f>
        <v>184</v>
      </c>
      <c r="I18" s="81" t="s">
        <v>96</v>
      </c>
      <c r="L18" s="81" t="s">
        <v>207</v>
      </c>
    </row>
    <row r="19" spans="1:15" ht="21.75" customHeight="1" x14ac:dyDescent="0.15">
      <c r="A19" s="345" t="s">
        <v>13</v>
      </c>
      <c r="B19" s="346"/>
      <c r="C19" s="139">
        <f>ROUNDDOWN(C16*C18,0)</f>
        <v>450</v>
      </c>
      <c r="D19" s="183"/>
      <c r="E19" s="257" t="s">
        <v>274</v>
      </c>
      <c r="F19" s="339">
        <f>IF(F16&lt;O25,"該当なし",IF(AND(F15&lt;O25,F16&gt;=O25),F16-O25+1,IF(F15&gt;=O25,F16-F15+1,"")))</f>
        <v>62</v>
      </c>
      <c r="I19" s="81" t="s">
        <v>113</v>
      </c>
      <c r="L19" s="81" t="s">
        <v>145</v>
      </c>
    </row>
    <row r="20" spans="1:15" ht="21.75" customHeight="1" x14ac:dyDescent="0.15">
      <c r="A20" s="345" t="s">
        <v>14</v>
      </c>
      <c r="B20" s="346"/>
      <c r="C20" s="272">
        <v>22</v>
      </c>
      <c r="D20" s="23"/>
      <c r="E20" s="119" t="s">
        <v>267</v>
      </c>
      <c r="F20" s="260">
        <f>IF(OR(F17="該当なし",F19="該当なし"),"該当なし",ROUND(F19/F18,2))</f>
        <v>0.34</v>
      </c>
      <c r="I20" s="81"/>
    </row>
    <row r="21" spans="1:15" ht="21.75" customHeight="1" x14ac:dyDescent="0.15">
      <c r="A21" s="345" t="s">
        <v>15</v>
      </c>
      <c r="B21" s="346"/>
      <c r="C21" s="273">
        <v>600</v>
      </c>
      <c r="D21" s="183"/>
      <c r="E21" s="259" t="s">
        <v>269</v>
      </c>
      <c r="F21" s="260">
        <f>IF(F20="該当なし",0,IF(ROUND(F20*VLOOKUP(F17,$L$24:$M$27,2),2)&lt;2,ROUND(F20*VLOOKUP(F17,$L$24:$M$27,2),2),2))</f>
        <v>0.41</v>
      </c>
    </row>
    <row r="22" spans="1:15" x14ac:dyDescent="0.15">
      <c r="A22" s="351" t="s">
        <v>155</v>
      </c>
      <c r="B22" s="352"/>
      <c r="C22" s="274">
        <v>1200</v>
      </c>
    </row>
    <row r="23" spans="1:15" x14ac:dyDescent="0.15">
      <c r="E23" s="184" t="s">
        <v>213</v>
      </c>
      <c r="F23" s="203" t="s">
        <v>214</v>
      </c>
      <c r="I23" t="s">
        <v>117</v>
      </c>
      <c r="L23" t="s">
        <v>117</v>
      </c>
    </row>
    <row r="24" spans="1:15" ht="27" customHeight="1" x14ac:dyDescent="0.15">
      <c r="A24" s="41" t="s">
        <v>16</v>
      </c>
      <c r="B24" s="275">
        <v>24800</v>
      </c>
      <c r="I24" s="81" t="s">
        <v>97</v>
      </c>
      <c r="L24" s="81" t="s">
        <v>260</v>
      </c>
      <c r="M24" s="258">
        <v>1.8</v>
      </c>
      <c r="O24" s="22" t="s">
        <v>117</v>
      </c>
    </row>
    <row r="25" spans="1:15" ht="27" customHeight="1" x14ac:dyDescent="0.15">
      <c r="A25" s="42" t="s">
        <v>17</v>
      </c>
      <c r="B25" s="276">
        <v>21900</v>
      </c>
      <c r="E25" s="341" t="s">
        <v>273</v>
      </c>
      <c r="F25" s="340">
        <f>総括内訳表!G13</f>
        <v>14308800</v>
      </c>
      <c r="I25" s="81" t="s">
        <v>98</v>
      </c>
      <c r="L25" s="81" t="s">
        <v>261</v>
      </c>
      <c r="M25" s="258">
        <v>1.6</v>
      </c>
      <c r="O25" s="248">
        <v>45261</v>
      </c>
    </row>
    <row r="26" spans="1:15" ht="27" customHeight="1" x14ac:dyDescent="0.15">
      <c r="A26" s="43" t="s">
        <v>18</v>
      </c>
      <c r="B26" s="277">
        <v>24800</v>
      </c>
      <c r="G26" s="204"/>
      <c r="H26" s="204"/>
      <c r="I26" s="204"/>
      <c r="L26" s="22" t="s">
        <v>262</v>
      </c>
      <c r="M26" s="258">
        <v>1.4</v>
      </c>
      <c r="O26" s="248">
        <v>45382</v>
      </c>
    </row>
    <row r="27" spans="1:15" x14ac:dyDescent="0.15">
      <c r="L27" s="22" t="s">
        <v>263</v>
      </c>
      <c r="M27" s="258">
        <v>1.2</v>
      </c>
    </row>
    <row r="28" spans="1:15" x14ac:dyDescent="0.15">
      <c r="L28" s="22" t="s">
        <v>264</v>
      </c>
    </row>
  </sheetData>
  <sheetProtection sheet="1" objects="1" scenarios="1"/>
  <mergeCells count="16">
    <mergeCell ref="A22:B22"/>
    <mergeCell ref="A1:F1"/>
    <mergeCell ref="A21:B21"/>
    <mergeCell ref="A19:B19"/>
    <mergeCell ref="A20:B20"/>
    <mergeCell ref="A15:B15"/>
    <mergeCell ref="K12:L12"/>
    <mergeCell ref="K14:L14"/>
    <mergeCell ref="A18:B18"/>
    <mergeCell ref="A13:B13"/>
    <mergeCell ref="B3:F3"/>
    <mergeCell ref="B6:F6"/>
    <mergeCell ref="A14:B14"/>
    <mergeCell ref="I13:J13"/>
    <mergeCell ref="A16:B16"/>
    <mergeCell ref="A17:B17"/>
  </mergeCells>
  <phoneticPr fontId="1"/>
  <dataValidations count="4">
    <dataValidation type="list" allowBlank="1" showInputMessage="1" showErrorMessage="1" sqref="F12" xr:uid="{50D481E8-15F8-47E3-8B68-A49DAAE7F9AE}">
      <formula1>$I$24:$I$25</formula1>
    </dataValidation>
    <dataValidation type="list" allowBlank="1" showInputMessage="1" showErrorMessage="1" sqref="F11" xr:uid="{C35B3AF9-D743-4E16-9880-25BF02C04A05}">
      <formula1>$I$18:$I$20</formula1>
    </dataValidation>
    <dataValidation type="list" allowBlank="1" showInputMessage="1" showErrorMessage="1" sqref="C17" xr:uid="{F001E0A8-1CE6-4C44-88B7-B5D3C2F246F8}">
      <formula1>$L$18:$L$19</formula1>
    </dataValidation>
    <dataValidation type="list" allowBlank="1" showInputMessage="1" showErrorMessage="1" sqref="F17" xr:uid="{C5F9EB79-D51D-405C-ABD0-E32906AC11B8}">
      <formula1>$L$24:$L$28</formula1>
    </dataValidation>
  </dataValidations>
  <pageMargins left="0.7" right="0.7" top="0.75" bottom="0.75" header="0.3" footer="0.3"/>
  <pageSetup paperSize="9" scale="92"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92015-0EC9-4C15-9EAF-8E58167B71E0}">
  <sheetPr>
    <tabColor rgb="FFCCFFFF"/>
  </sheetPr>
  <dimension ref="A1:T23"/>
  <sheetViews>
    <sheetView workbookViewId="0">
      <selection activeCell="E13" sqref="E13"/>
    </sheetView>
  </sheetViews>
  <sheetFormatPr defaultRowHeight="14.25" x14ac:dyDescent="0.15"/>
  <cols>
    <col min="1" max="1" width="23.625" customWidth="1"/>
    <col min="2" max="6" width="11.5" customWidth="1"/>
    <col min="7" max="7" width="18.125" customWidth="1"/>
    <col min="8" max="8" width="13.75" customWidth="1"/>
    <col min="9" max="9" width="13" customWidth="1"/>
    <col min="10" max="10" width="11.875" customWidth="1"/>
    <col min="11" max="15" width="17.75" customWidth="1"/>
    <col min="16" max="16" width="17.625" customWidth="1"/>
    <col min="17" max="17" width="2.5" customWidth="1"/>
    <col min="18" max="19" width="11.5" customWidth="1"/>
    <col min="20" max="20" width="13.5" customWidth="1"/>
    <col min="21" max="22" width="11.5" customWidth="1"/>
    <col min="23" max="23" width="12.25" customWidth="1"/>
    <col min="24" max="153" width="11.5" customWidth="1"/>
  </cols>
  <sheetData>
    <row r="1" spans="1:20" ht="30.75" customHeight="1" x14ac:dyDescent="0.15">
      <c r="A1" s="35" t="s">
        <v>132</v>
      </c>
    </row>
    <row r="3" spans="1:20" ht="32.25" customHeight="1" x14ac:dyDescent="0.15">
      <c r="A3" s="35" t="s">
        <v>174</v>
      </c>
      <c r="B3" s="107" t="s">
        <v>131</v>
      </c>
      <c r="C3" s="142" t="s">
        <v>164</v>
      </c>
      <c r="D3" s="141" t="s">
        <v>134</v>
      </c>
      <c r="E3" s="45" t="s">
        <v>137</v>
      </c>
      <c r="F3" s="45" t="s">
        <v>135</v>
      </c>
      <c r="G3" s="45" t="s">
        <v>136</v>
      </c>
      <c r="H3" s="96" t="s">
        <v>133</v>
      </c>
      <c r="I3" s="96" t="s">
        <v>129</v>
      </c>
      <c r="J3" s="99" t="s">
        <v>181</v>
      </c>
      <c r="K3" s="99" t="s">
        <v>205</v>
      </c>
      <c r="L3" s="98" t="s">
        <v>206</v>
      </c>
      <c r="M3" s="99" t="s">
        <v>190</v>
      </c>
      <c r="N3" s="98" t="s">
        <v>177</v>
      </c>
      <c r="O3" s="99" t="s">
        <v>191</v>
      </c>
      <c r="P3" s="98" t="s">
        <v>192</v>
      </c>
      <c r="R3" s="97" t="s">
        <v>130</v>
      </c>
    </row>
    <row r="4" spans="1:20" x14ac:dyDescent="0.15">
      <c r="A4" s="342"/>
      <c r="B4" s="145">
        <v>78</v>
      </c>
      <c r="C4" s="143">
        <v>11100</v>
      </c>
      <c r="D4" s="146">
        <v>12.5</v>
      </c>
      <c r="E4" s="147">
        <v>420</v>
      </c>
      <c r="F4" s="148">
        <v>80</v>
      </c>
      <c r="G4" s="148">
        <v>140</v>
      </c>
      <c r="H4" s="66">
        <v>0.25</v>
      </c>
      <c r="I4" s="66">
        <v>0.1</v>
      </c>
      <c r="J4" s="66">
        <v>0.12</v>
      </c>
      <c r="K4" s="154">
        <v>1.3100000000000001E-4</v>
      </c>
      <c r="L4" s="144">
        <f>ROUND(C4*K4*1000,-1)</f>
        <v>1450</v>
      </c>
      <c r="M4" s="154">
        <v>4.5300000000000001E-4</v>
      </c>
      <c r="N4" s="144">
        <f>ROUND(C4*M4*1000,-1)</f>
        <v>5030</v>
      </c>
      <c r="O4" s="154">
        <v>1.3600000000000001E-3</v>
      </c>
      <c r="P4" s="165">
        <f>ROUND(C4*O4*1000,-1)</f>
        <v>15100</v>
      </c>
      <c r="R4" s="149">
        <v>0.153</v>
      </c>
    </row>
    <row r="5" spans="1:20" x14ac:dyDescent="0.15">
      <c r="A5" s="342"/>
      <c r="B5" t="s">
        <v>175</v>
      </c>
      <c r="R5" t="s">
        <v>176</v>
      </c>
    </row>
    <row r="8" spans="1:20" ht="32.25" customHeight="1" x14ac:dyDescent="0.15">
      <c r="A8" s="35" t="s">
        <v>165</v>
      </c>
      <c r="B8" s="107" t="s">
        <v>131</v>
      </c>
      <c r="C8" s="142" t="s">
        <v>164</v>
      </c>
      <c r="D8" s="141" t="s">
        <v>134</v>
      </c>
      <c r="E8" s="45" t="s">
        <v>137</v>
      </c>
      <c r="F8" s="45" t="s">
        <v>135</v>
      </c>
      <c r="G8" s="45" t="s">
        <v>136</v>
      </c>
      <c r="H8" s="96" t="s">
        <v>133</v>
      </c>
      <c r="I8" s="96" t="s">
        <v>129</v>
      </c>
      <c r="J8" s="99" t="s">
        <v>181</v>
      </c>
      <c r="K8" s="99" t="s">
        <v>205</v>
      </c>
      <c r="L8" s="98" t="s">
        <v>206</v>
      </c>
      <c r="M8" s="99" t="s">
        <v>190</v>
      </c>
      <c r="N8" s="98" t="s">
        <v>177</v>
      </c>
      <c r="O8" s="99" t="s">
        <v>191</v>
      </c>
      <c r="P8" s="98" t="s">
        <v>192</v>
      </c>
      <c r="R8" s="97" t="s">
        <v>130</v>
      </c>
    </row>
    <row r="9" spans="1:20" ht="19.5" customHeight="1" x14ac:dyDescent="0.15">
      <c r="B9" s="145">
        <v>65</v>
      </c>
      <c r="C9" s="143">
        <v>10000</v>
      </c>
      <c r="D9" s="150">
        <v>9</v>
      </c>
      <c r="E9" s="147">
        <v>690</v>
      </c>
      <c r="F9" s="148">
        <v>110</v>
      </c>
      <c r="G9" s="148">
        <v>180</v>
      </c>
      <c r="H9" s="66">
        <v>0.3</v>
      </c>
      <c r="I9" s="66">
        <v>0.1</v>
      </c>
      <c r="J9" s="66">
        <v>0.15</v>
      </c>
      <c r="K9" s="154">
        <v>1.17E-4</v>
      </c>
      <c r="L9" s="144">
        <f>ROUND(C9*K9*1000,-1)</f>
        <v>1170</v>
      </c>
      <c r="M9" s="154">
        <v>3.3E-4</v>
      </c>
      <c r="N9" s="144">
        <f>ROUND(C9*M9*1000,-1)</f>
        <v>3300</v>
      </c>
      <c r="O9" s="154">
        <v>1.2650000000000001E-3</v>
      </c>
      <c r="P9" s="165">
        <f>ROUND(C9*O9*1000,-2)</f>
        <v>12700</v>
      </c>
      <c r="Q9" s="104"/>
      <c r="R9" s="149">
        <v>0.153</v>
      </c>
      <c r="S9" s="104"/>
    </row>
    <row r="10" spans="1:20" x14ac:dyDescent="0.15">
      <c r="B10" t="s">
        <v>166</v>
      </c>
      <c r="Q10" s="104"/>
      <c r="R10" t="s">
        <v>139</v>
      </c>
      <c r="S10" s="104"/>
      <c r="T10" s="104"/>
    </row>
    <row r="11" spans="1:20" ht="15" thickBot="1" x14ac:dyDescent="0.2">
      <c r="Q11" s="104"/>
      <c r="S11" s="104"/>
      <c r="T11" s="104"/>
    </row>
    <row r="12" spans="1:20" ht="33" customHeight="1" thickTop="1" x14ac:dyDescent="0.15">
      <c r="A12" s="35" t="s">
        <v>128</v>
      </c>
      <c r="C12" s="109" t="s">
        <v>270</v>
      </c>
      <c r="D12" s="152"/>
      <c r="H12" s="98" t="s">
        <v>254</v>
      </c>
      <c r="I12" s="243" t="s">
        <v>138</v>
      </c>
      <c r="L12" s="104"/>
      <c r="M12" s="104"/>
      <c r="N12" s="104"/>
      <c r="O12" s="104"/>
      <c r="Q12" s="104"/>
      <c r="R12" s="104"/>
    </row>
    <row r="13" spans="1:20" ht="24.75" customHeight="1" thickBot="1" x14ac:dyDescent="0.2">
      <c r="C13" s="110">
        <f>(32450+36159+26400)/3</f>
        <v>31669.666666666668</v>
      </c>
      <c r="D13" s="156"/>
      <c r="H13" s="144">
        <f>ROUND(C13*K9*1000,-1)</f>
        <v>3710</v>
      </c>
      <c r="I13" s="112">
        <f>H13*E9/F9</f>
        <v>23271.81818181818</v>
      </c>
      <c r="J13" s="105"/>
      <c r="K13" s="106"/>
      <c r="L13" s="101"/>
      <c r="M13" s="104"/>
      <c r="N13" s="104"/>
      <c r="O13" s="104"/>
      <c r="P13" s="104"/>
      <c r="Q13" s="104"/>
      <c r="R13" s="104"/>
      <c r="S13" s="151"/>
      <c r="T13" s="152"/>
    </row>
    <row r="14" spans="1:20" ht="28.5" customHeight="1" thickTop="1" x14ac:dyDescent="0.15">
      <c r="C14" s="205"/>
      <c r="H14" s="57"/>
      <c r="I14" s="242"/>
      <c r="J14" s="104"/>
      <c r="K14" s="104"/>
      <c r="L14" s="102"/>
      <c r="M14" s="104"/>
      <c r="N14" s="45" t="s">
        <v>54</v>
      </c>
      <c r="O14" s="104"/>
      <c r="P14" s="104"/>
      <c r="Q14" s="104"/>
      <c r="R14" s="104"/>
      <c r="S14" s="151"/>
      <c r="T14" s="153"/>
    </row>
    <row r="15" spans="1:20" ht="24.75" customHeight="1" thickBot="1" x14ac:dyDescent="0.2">
      <c r="G15" s="241"/>
      <c r="H15" s="241"/>
      <c r="I15" s="151"/>
      <c r="L15" s="102"/>
      <c r="M15" s="36"/>
      <c r="N15" s="113">
        <f>I13+I17</f>
        <v>32254.81818181818</v>
      </c>
      <c r="Q15" s="104"/>
      <c r="R15" s="104"/>
    </row>
    <row r="16" spans="1:20" ht="25.5" thickTop="1" x14ac:dyDescent="0.15">
      <c r="F16" s="107" t="s">
        <v>127</v>
      </c>
      <c r="G16" s="158" t="s">
        <v>271</v>
      </c>
      <c r="H16" s="98" t="s">
        <v>141</v>
      </c>
      <c r="I16" s="98" t="s">
        <v>142</v>
      </c>
      <c r="L16" s="103"/>
      <c r="M16" s="104"/>
      <c r="N16" s="104"/>
      <c r="Q16" s="104"/>
      <c r="R16" s="104"/>
    </row>
    <row r="17" spans="2:18" ht="15" thickBot="1" x14ac:dyDescent="0.2">
      <c r="F17" s="111">
        <f>R9*B9</f>
        <v>9.9450000000000003</v>
      </c>
      <c r="G17" s="108">
        <v>144</v>
      </c>
      <c r="H17" s="157">
        <f>F17*G17</f>
        <v>1432.08</v>
      </c>
      <c r="I17" s="112">
        <f>ROUND(H17*E9/F9,0)</f>
        <v>8983</v>
      </c>
      <c r="J17" s="105"/>
      <c r="K17" s="106"/>
      <c r="L17" s="104"/>
      <c r="M17" s="104"/>
      <c r="N17" s="104"/>
      <c r="O17" s="104"/>
      <c r="P17" s="104"/>
      <c r="Q17" s="104"/>
      <c r="R17" s="104"/>
    </row>
    <row r="18" spans="2:18" ht="15" thickTop="1" x14ac:dyDescent="0.15">
      <c r="B18" t="s">
        <v>272</v>
      </c>
      <c r="M18" s="104"/>
      <c r="N18" s="104"/>
      <c r="O18" s="104"/>
      <c r="P18" s="104"/>
      <c r="Q18" s="104"/>
      <c r="R18" s="104"/>
    </row>
    <row r="20" spans="2:18" x14ac:dyDescent="0.15">
      <c r="M20" s="104"/>
      <c r="N20" s="104"/>
      <c r="O20" s="104"/>
      <c r="P20" s="104"/>
      <c r="Q20" s="104"/>
      <c r="R20" s="104"/>
    </row>
    <row r="21" spans="2:18" x14ac:dyDescent="0.15">
      <c r="F21" s="57"/>
      <c r="G21" s="57"/>
      <c r="J21" s="104"/>
      <c r="K21" s="104"/>
      <c r="L21" s="104"/>
      <c r="M21" s="104"/>
      <c r="N21" s="104"/>
      <c r="P21" s="104"/>
    </row>
    <row r="22" spans="2:18" x14ac:dyDescent="0.15">
      <c r="J22" s="104"/>
      <c r="K22" s="104"/>
      <c r="L22" s="104"/>
      <c r="M22" s="104"/>
      <c r="N22" s="104"/>
      <c r="P22" s="104"/>
    </row>
    <row r="23" spans="2:18" x14ac:dyDescent="0.15">
      <c r="J23" s="104"/>
      <c r="K23" s="104"/>
      <c r="L23" s="104"/>
      <c r="M23" s="104"/>
      <c r="N23" s="104"/>
      <c r="P23" s="104"/>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5C364-AF90-441F-95E9-0C806D821C1C}">
  <sheetPr>
    <tabColor rgb="FFCCFFFF"/>
  </sheetPr>
  <dimension ref="A1:P16"/>
  <sheetViews>
    <sheetView workbookViewId="0">
      <selection activeCell="I9" sqref="I9"/>
    </sheetView>
  </sheetViews>
  <sheetFormatPr defaultRowHeight="14.25" x14ac:dyDescent="0.15"/>
  <cols>
    <col min="2" max="16" width="11.375" customWidth="1"/>
  </cols>
  <sheetData>
    <row r="1" spans="1:16" ht="21" x14ac:dyDescent="0.15">
      <c r="A1" s="35" t="s">
        <v>146</v>
      </c>
    </row>
    <row r="3" spans="1:16" x14ac:dyDescent="0.15">
      <c r="B3" t="s">
        <v>147</v>
      </c>
      <c r="H3" t="s">
        <v>186</v>
      </c>
    </row>
    <row r="4" spans="1:16" ht="21" x14ac:dyDescent="0.15">
      <c r="A4" s="35"/>
      <c r="H4" s="33" t="s">
        <v>187</v>
      </c>
      <c r="I4" s="33" t="s">
        <v>188</v>
      </c>
      <c r="J4" s="33" t="s">
        <v>189</v>
      </c>
    </row>
    <row r="5" spans="1:16" ht="49.5" customHeight="1" x14ac:dyDescent="0.15">
      <c r="B5" s="123" t="s">
        <v>167</v>
      </c>
      <c r="C5" s="31" t="s">
        <v>148</v>
      </c>
      <c r="D5" s="124" t="s">
        <v>149</v>
      </c>
      <c r="E5" s="124" t="s">
        <v>168</v>
      </c>
      <c r="F5" s="333">
        <v>98</v>
      </c>
      <c r="H5" s="334">
        <v>1</v>
      </c>
      <c r="I5" s="335">
        <v>62</v>
      </c>
      <c r="J5" s="336">
        <v>1.46</v>
      </c>
    </row>
    <row r="7" spans="1:16" x14ac:dyDescent="0.15">
      <c r="B7" t="s">
        <v>150</v>
      </c>
      <c r="G7" t="s">
        <v>200</v>
      </c>
    </row>
    <row r="8" spans="1:16" x14ac:dyDescent="0.15">
      <c r="B8" s="31" t="s">
        <v>151</v>
      </c>
      <c r="C8" s="31" t="s">
        <v>152</v>
      </c>
      <c r="G8" s="31" t="s">
        <v>201</v>
      </c>
      <c r="H8" s="31" t="s">
        <v>203</v>
      </c>
      <c r="I8" s="31" t="s">
        <v>17</v>
      </c>
    </row>
    <row r="9" spans="1:16" ht="38.25" customHeight="1" x14ac:dyDescent="0.15">
      <c r="B9" s="124" t="s">
        <v>153</v>
      </c>
      <c r="C9" s="338">
        <v>38</v>
      </c>
      <c r="G9" s="31" t="s">
        <v>202</v>
      </c>
      <c r="H9" s="179" t="s">
        <v>204</v>
      </c>
      <c r="I9" s="337">
        <v>0.2</v>
      </c>
    </row>
    <row r="11" spans="1:16" x14ac:dyDescent="0.15">
      <c r="B11" t="s">
        <v>160</v>
      </c>
      <c r="I11" s="104"/>
      <c r="J11" s="104"/>
      <c r="K11" s="104"/>
      <c r="L11" s="104"/>
      <c r="M11" s="104"/>
      <c r="N11" s="104"/>
      <c r="O11" s="104"/>
      <c r="P11" s="104"/>
    </row>
    <row r="12" spans="1:16" x14ac:dyDescent="0.15">
      <c r="B12" s="36" t="s">
        <v>169</v>
      </c>
      <c r="C12" s="36" t="s">
        <v>170</v>
      </c>
      <c r="D12" s="36" t="s">
        <v>162</v>
      </c>
      <c r="E12" s="36" t="s">
        <v>163</v>
      </c>
      <c r="F12" s="39"/>
      <c r="G12" s="39"/>
      <c r="H12" s="106" t="s">
        <v>195</v>
      </c>
      <c r="I12" s="34" t="s">
        <v>147</v>
      </c>
      <c r="J12" s="39"/>
      <c r="K12" s="13"/>
      <c r="L12" s="34" t="s">
        <v>194</v>
      </c>
      <c r="M12" s="39"/>
      <c r="N12" s="39"/>
      <c r="O12" s="13"/>
      <c r="P12" s="36" t="s">
        <v>197</v>
      </c>
    </row>
    <row r="13" spans="1:16" x14ac:dyDescent="0.15">
      <c r="B13" s="37"/>
      <c r="C13" s="37"/>
      <c r="D13" s="37"/>
      <c r="E13" s="37"/>
      <c r="F13" s="244" t="s">
        <v>161</v>
      </c>
      <c r="G13" s="167" t="s">
        <v>185</v>
      </c>
      <c r="H13" s="170"/>
      <c r="I13" s="31" t="s">
        <v>193</v>
      </c>
      <c r="J13" s="31" t="s">
        <v>188</v>
      </c>
      <c r="K13" s="31" t="s">
        <v>138</v>
      </c>
      <c r="L13" s="31" t="s">
        <v>193</v>
      </c>
      <c r="M13" s="31" t="s">
        <v>188</v>
      </c>
      <c r="N13" s="31" t="s">
        <v>138</v>
      </c>
      <c r="O13" s="163" t="s">
        <v>199</v>
      </c>
      <c r="P13" s="178" t="s">
        <v>198</v>
      </c>
    </row>
    <row r="14" spans="1:16" ht="26.25" customHeight="1" x14ac:dyDescent="0.15">
      <c r="B14" s="245" t="s">
        <v>178</v>
      </c>
      <c r="C14" s="246" t="s">
        <v>171</v>
      </c>
      <c r="D14" s="247">
        <v>70</v>
      </c>
      <c r="E14" s="247">
        <v>60</v>
      </c>
      <c r="F14" s="160">
        <f>ROUND(D14/F$5,2)</f>
        <v>0.71</v>
      </c>
      <c r="G14" s="160">
        <f>ROUND((E14/C$9)/(諸雑費!E$4/諸雑費!F$4),2)</f>
        <v>0.3</v>
      </c>
      <c r="H14" s="171">
        <f>SUM(F14:G14)</f>
        <v>1.01</v>
      </c>
      <c r="I14" s="166">
        <f>F14*H$5*条件入力表!B$26</f>
        <v>17608</v>
      </c>
      <c r="J14" s="172">
        <f>I$5*F14*諸雑費!G$17</f>
        <v>6338.8799999999992</v>
      </c>
      <c r="K14" s="172">
        <f>F14*J$5*諸雑費!P$9</f>
        <v>13164.82</v>
      </c>
      <c r="L14" s="166">
        <f>G14*条件入力表!B$26</f>
        <v>7440</v>
      </c>
      <c r="M14" s="172">
        <f>ROUND(諸雑費!$B$4*諸雑費!$R$4,0)*諸雑費!$G$17*E14/C$9</f>
        <v>2728.4210526315787</v>
      </c>
      <c r="N14" s="172">
        <f>諸雑費!N$4/C$9*E14</f>
        <v>7942.105263157895</v>
      </c>
      <c r="O14" s="164">
        <f>E14*I$9/100</f>
        <v>0.12</v>
      </c>
      <c r="P14" s="94">
        <f>ROUND(J14+K14+M14+N14,0)</f>
        <v>30174</v>
      </c>
    </row>
    <row r="15" spans="1:16" ht="26.25" customHeight="1" x14ac:dyDescent="0.15">
      <c r="B15" s="159" t="s">
        <v>180</v>
      </c>
      <c r="C15" s="168" t="s">
        <v>172</v>
      </c>
      <c r="D15" s="169">
        <v>160</v>
      </c>
      <c r="E15" s="169">
        <v>130</v>
      </c>
      <c r="F15" s="160">
        <f>ROUND(D15/F$5,2)</f>
        <v>1.63</v>
      </c>
      <c r="G15" s="160">
        <f>ROUND((E15/C$9)/(諸雑費!E$4/諸雑費!F$4),2)</f>
        <v>0.65</v>
      </c>
      <c r="H15" s="171">
        <f>SUM(F15:G15)</f>
        <v>2.2799999999999998</v>
      </c>
      <c r="I15" s="166">
        <f>F15*H$5*条件入力表!B$26</f>
        <v>40424</v>
      </c>
      <c r="J15" s="172">
        <f>I$5*F15*諸雑費!G$17</f>
        <v>14552.639999999998</v>
      </c>
      <c r="K15" s="172">
        <f>F15*J$5*諸雑費!P$9</f>
        <v>30223.46</v>
      </c>
      <c r="L15" s="166">
        <f>G15*条件入力表!B$26</f>
        <v>16120</v>
      </c>
      <c r="M15" s="172">
        <f>ROUND(諸雑費!$B$4*諸雑費!$R$4,0)*諸雑費!$G$17*E15/C$9</f>
        <v>5911.5789473684208</v>
      </c>
      <c r="N15" s="172">
        <f>諸雑費!N$4/C$9*E15</f>
        <v>17207.894736842107</v>
      </c>
      <c r="O15" s="164">
        <f t="shared" ref="O15:O16" si="0">E15*I$9/100</f>
        <v>0.26</v>
      </c>
      <c r="P15" s="94">
        <f>ROUND(J15+K15+M15+N15,0)</f>
        <v>67896</v>
      </c>
    </row>
    <row r="16" spans="1:16" ht="26.25" customHeight="1" x14ac:dyDescent="0.15">
      <c r="B16" s="159" t="s">
        <v>179</v>
      </c>
      <c r="C16" s="168" t="s">
        <v>173</v>
      </c>
      <c r="D16" s="169">
        <v>250</v>
      </c>
      <c r="E16" s="169">
        <v>200</v>
      </c>
      <c r="F16" s="160">
        <f>ROUND(D16/F$5,2)</f>
        <v>2.5499999999999998</v>
      </c>
      <c r="G16" s="160">
        <f>ROUND((E16/C$9)/(諸雑費!E$4/諸雑費!F$4),2)</f>
        <v>1</v>
      </c>
      <c r="H16" s="171">
        <f>SUM(F16:G16)</f>
        <v>3.55</v>
      </c>
      <c r="I16" s="166">
        <f>F16*H$5*条件入力表!B$26</f>
        <v>63239.999999999993</v>
      </c>
      <c r="J16" s="172">
        <f>I$5*F16*諸雑費!G$17</f>
        <v>22766.399999999998</v>
      </c>
      <c r="K16" s="172">
        <f>F16*J$5*諸雑費!P$9</f>
        <v>47282.1</v>
      </c>
      <c r="L16" s="166">
        <f>G16*条件入力表!B$26</f>
        <v>24800</v>
      </c>
      <c r="M16" s="172">
        <f>ROUND(諸雑費!$B$4*諸雑費!$R$4,0)*諸雑費!$G$17*E16/C$9</f>
        <v>9094.7368421052633</v>
      </c>
      <c r="N16" s="172">
        <f>諸雑費!N$4/C$9*E16</f>
        <v>26473.684210526317</v>
      </c>
      <c r="O16" s="164">
        <f t="shared" si="0"/>
        <v>0.4</v>
      </c>
      <c r="P16" s="94">
        <f>ROUND(J16+K16+M16+N16,0)</f>
        <v>105617</v>
      </c>
    </row>
  </sheetData>
  <sheetProtection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sheetPr>
  <dimension ref="A1:I17"/>
  <sheetViews>
    <sheetView showGridLines="0" view="pageBreakPreview" zoomScaleNormal="100" zoomScaleSheetLayoutView="100" workbookViewId="0">
      <selection activeCell="D12" sqref="D12"/>
    </sheetView>
  </sheetViews>
  <sheetFormatPr defaultRowHeight="14.25" x14ac:dyDescent="0.15"/>
  <cols>
    <col min="1" max="1" width="16.625" customWidth="1"/>
    <col min="2" max="2" width="21.25" customWidth="1"/>
    <col min="3" max="3" width="22.5" customWidth="1"/>
    <col min="4" max="4" width="10.375" customWidth="1"/>
    <col min="5" max="5" width="5.5" bestFit="1" customWidth="1"/>
    <col min="6" max="6" width="11.75" customWidth="1"/>
    <col min="7" max="7" width="14.375" customWidth="1"/>
    <col min="8" max="8" width="7.875" customWidth="1"/>
    <col min="9" max="9" width="12.125" customWidth="1"/>
  </cols>
  <sheetData>
    <row r="1" spans="1:9" ht="18.75" x14ac:dyDescent="0.15">
      <c r="A1" s="356" t="s">
        <v>19</v>
      </c>
      <c r="B1" s="356"/>
      <c r="C1" s="356"/>
      <c r="D1" s="356"/>
      <c r="E1" s="356"/>
      <c r="F1" s="356"/>
      <c r="G1" s="356"/>
      <c r="H1" s="356"/>
      <c r="I1" s="356"/>
    </row>
    <row r="3" spans="1:9" ht="24" customHeight="1" x14ac:dyDescent="0.15">
      <c r="A3" s="32" t="s">
        <v>20</v>
      </c>
      <c r="B3" s="32" t="s">
        <v>21</v>
      </c>
      <c r="C3" s="32" t="s">
        <v>22</v>
      </c>
      <c r="D3" s="32" t="s">
        <v>23</v>
      </c>
      <c r="E3" s="32" t="s">
        <v>24</v>
      </c>
      <c r="F3" s="32" t="s">
        <v>115</v>
      </c>
      <c r="G3" s="32" t="s">
        <v>26</v>
      </c>
      <c r="H3" s="357" t="s">
        <v>27</v>
      </c>
      <c r="I3" s="357"/>
    </row>
    <row r="4" spans="1:9" ht="24" customHeight="1" x14ac:dyDescent="0.15">
      <c r="A4" s="185" t="s">
        <v>42</v>
      </c>
      <c r="B4" s="186"/>
      <c r="C4" s="187"/>
      <c r="D4" s="188"/>
      <c r="E4" s="189"/>
      <c r="F4" s="190"/>
      <c r="G4" s="191">
        <f>'直接事業費 内訳'!C17</f>
        <v>7103000</v>
      </c>
      <c r="H4" s="358"/>
      <c r="I4" s="358"/>
    </row>
    <row r="5" spans="1:9" ht="24" customHeight="1" x14ac:dyDescent="0.15">
      <c r="A5" s="359" t="s">
        <v>124</v>
      </c>
      <c r="B5" s="187" t="s">
        <v>29</v>
      </c>
      <c r="C5" s="192" t="s">
        <v>121</v>
      </c>
      <c r="D5" s="187">
        <v>1</v>
      </c>
      <c r="E5" s="187" t="s">
        <v>30</v>
      </c>
      <c r="F5" s="193">
        <f>ROUND(IF(I5&gt;6000000,POWER(I5,-0.0958)*0.24,0.054),4)</f>
        <v>5.2900000000000003E-2</v>
      </c>
      <c r="G5" s="191">
        <f>ROUNDDOWN(I5*F5,0)</f>
        <v>375748</v>
      </c>
      <c r="H5" s="194" t="s">
        <v>31</v>
      </c>
      <c r="I5" s="195">
        <f>G4</f>
        <v>7103000</v>
      </c>
    </row>
    <row r="6" spans="1:9" ht="24" customHeight="1" x14ac:dyDescent="0.15">
      <c r="A6" s="360"/>
      <c r="B6" s="187" t="s">
        <v>32</v>
      </c>
      <c r="C6" s="196" t="s">
        <v>122</v>
      </c>
      <c r="D6" s="187">
        <v>1</v>
      </c>
      <c r="E6" s="187" t="s">
        <v>30</v>
      </c>
      <c r="F6" s="193">
        <f>ROUND(IF(I6&gt;7000000,POWER(I6,-0.14)*3.873,0.4263),4)+条件入力表!F21/100</f>
        <v>0.42649999999999999</v>
      </c>
      <c r="G6" s="191">
        <f>ROUNDDOWN(I6*F6,0)</f>
        <v>3189686</v>
      </c>
      <c r="H6" s="194" t="s">
        <v>31</v>
      </c>
      <c r="I6" s="195">
        <f>G4+G5</f>
        <v>7478748</v>
      </c>
    </row>
    <row r="7" spans="1:9" ht="24" customHeight="1" x14ac:dyDescent="0.15">
      <c r="A7" s="187" t="s">
        <v>33</v>
      </c>
      <c r="B7" s="187"/>
      <c r="C7" s="196" t="s">
        <v>123</v>
      </c>
      <c r="D7" s="187">
        <v>1</v>
      </c>
      <c r="E7" s="187" t="s">
        <v>30</v>
      </c>
      <c r="F7" s="193">
        <f>ROUND(IF(I7&gt;5000000,(-4.97802*LOG(I7)+56.92101)/100,0.2357),4)</f>
        <v>0.21929999999999999</v>
      </c>
      <c r="G7" s="191">
        <f>ROUNDDOWN(I7*F7,0)</f>
        <v>2339587</v>
      </c>
      <c r="H7" s="194" t="s">
        <v>31</v>
      </c>
      <c r="I7" s="195">
        <f>G4+G5+G6</f>
        <v>10668434</v>
      </c>
    </row>
    <row r="8" spans="1:9" ht="24" customHeight="1" x14ac:dyDescent="0.15">
      <c r="A8" s="359" t="s">
        <v>34</v>
      </c>
      <c r="B8" s="187"/>
      <c r="C8" s="196"/>
      <c r="D8" s="187"/>
      <c r="E8" s="187"/>
      <c r="F8" s="197"/>
      <c r="G8" s="198">
        <f>SUM(G4:G7)</f>
        <v>13008021</v>
      </c>
      <c r="H8" s="194"/>
      <c r="I8" s="199"/>
    </row>
    <row r="9" spans="1:9" ht="24" customHeight="1" x14ac:dyDescent="0.15">
      <c r="A9" s="360"/>
      <c r="B9" s="187"/>
      <c r="C9" s="187"/>
      <c r="D9" s="187"/>
      <c r="E9" s="187"/>
      <c r="F9" s="187"/>
      <c r="G9" s="200">
        <f>INT(G8/1000)*1000</f>
        <v>13008000</v>
      </c>
      <c r="H9" s="354" t="s">
        <v>28</v>
      </c>
      <c r="I9" s="355"/>
    </row>
    <row r="10" spans="1:9" ht="24" customHeight="1" x14ac:dyDescent="0.15">
      <c r="A10" s="187"/>
      <c r="B10" s="187"/>
      <c r="C10" s="187"/>
      <c r="D10" s="187"/>
      <c r="E10" s="187"/>
      <c r="F10" s="187"/>
      <c r="G10" s="187"/>
      <c r="H10" s="201"/>
      <c r="I10" s="202"/>
    </row>
    <row r="11" spans="1:9" ht="24" customHeight="1" x14ac:dyDescent="0.15">
      <c r="A11" s="187" t="s">
        <v>35</v>
      </c>
      <c r="B11" s="187"/>
      <c r="C11" s="187"/>
      <c r="D11" s="280">
        <v>0.1</v>
      </c>
      <c r="E11" s="187"/>
      <c r="F11" s="187"/>
      <c r="G11" s="191">
        <f>ROUNDDOWN(I11*D11,0)</f>
        <v>1300800</v>
      </c>
      <c r="H11" s="194" t="s">
        <v>31</v>
      </c>
      <c r="I11" s="195">
        <f>G9</f>
        <v>13008000</v>
      </c>
    </row>
    <row r="12" spans="1:9" ht="24" customHeight="1" x14ac:dyDescent="0.15">
      <c r="A12" s="187"/>
      <c r="B12" s="187"/>
      <c r="C12" s="187"/>
      <c r="D12" s="187"/>
      <c r="E12" s="187"/>
      <c r="F12" s="187"/>
      <c r="G12" s="187"/>
      <c r="H12" s="201"/>
      <c r="I12" s="202"/>
    </row>
    <row r="13" spans="1:9" ht="24" customHeight="1" x14ac:dyDescent="0.15">
      <c r="A13" s="187" t="s">
        <v>36</v>
      </c>
      <c r="B13" s="187"/>
      <c r="C13" s="187"/>
      <c r="D13" s="187"/>
      <c r="E13" s="187"/>
      <c r="F13" s="187"/>
      <c r="G13" s="200">
        <f>G9+G11</f>
        <v>14308800</v>
      </c>
      <c r="H13" s="201"/>
      <c r="I13" s="202"/>
    </row>
    <row r="17" spans="6:6" x14ac:dyDescent="0.15">
      <c r="F17" s="261"/>
    </row>
  </sheetData>
  <sheetProtection sheet="1" objects="1" scenarios="1"/>
  <mergeCells count="6">
    <mergeCell ref="H9:I9"/>
    <mergeCell ref="A1:I1"/>
    <mergeCell ref="H3:I3"/>
    <mergeCell ref="H4:I4"/>
    <mergeCell ref="A8:A9"/>
    <mergeCell ref="A5:A6"/>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41FC-D04D-42DD-BA3C-BE1D387154EA}">
  <sheetPr>
    <tabColor rgb="FFFFCCFF"/>
  </sheetPr>
  <dimension ref="A1:E17"/>
  <sheetViews>
    <sheetView view="pageBreakPreview" zoomScaleNormal="100" zoomScaleSheetLayoutView="100" workbookViewId="0">
      <selection activeCell="C11" sqref="C11"/>
    </sheetView>
  </sheetViews>
  <sheetFormatPr defaultRowHeight="14.25" x14ac:dyDescent="0.15"/>
  <cols>
    <col min="1" max="1" width="12.375" customWidth="1"/>
    <col min="2" max="2" width="19.375" customWidth="1"/>
    <col min="3" max="3" width="14.375" customWidth="1"/>
    <col min="4" max="4" width="7.875" customWidth="1"/>
    <col min="5" max="5" width="14.875" customWidth="1"/>
  </cols>
  <sheetData>
    <row r="1" spans="1:5" ht="18.75" x14ac:dyDescent="0.15">
      <c r="A1" s="356" t="s">
        <v>37</v>
      </c>
      <c r="B1" s="356"/>
      <c r="C1" s="356"/>
      <c r="D1" s="356"/>
      <c r="E1" s="356"/>
    </row>
    <row r="2" spans="1:5" ht="10.5" customHeight="1" x14ac:dyDescent="0.15">
      <c r="B2" s="26"/>
      <c r="C2" s="58"/>
      <c r="D2" s="57"/>
      <c r="E2" s="57"/>
    </row>
    <row r="3" spans="1:5" ht="13.5" customHeight="1" x14ac:dyDescent="0.15">
      <c r="C3" s="59" t="s">
        <v>38</v>
      </c>
      <c r="D3" s="361" t="str">
        <f>条件入力表!B6</f>
        <v>搬出間伐及び下刈り、荒廃竹林整備事業</v>
      </c>
      <c r="E3" s="361"/>
    </row>
    <row r="4" spans="1:5" ht="13.5" customHeight="1" x14ac:dyDescent="0.15">
      <c r="C4" s="59"/>
      <c r="D4" s="362"/>
      <c r="E4" s="362"/>
    </row>
    <row r="5" spans="1:5" ht="24" customHeight="1" x14ac:dyDescent="0.15">
      <c r="A5" s="5" t="s">
        <v>20</v>
      </c>
      <c r="B5" s="28" t="s">
        <v>21</v>
      </c>
      <c r="C5" s="28" t="s">
        <v>26</v>
      </c>
      <c r="D5" s="367" t="s">
        <v>27</v>
      </c>
      <c r="E5" s="368"/>
    </row>
    <row r="6" spans="1:5" ht="24" customHeight="1" x14ac:dyDescent="0.15">
      <c r="A6" s="3" t="s">
        <v>42</v>
      </c>
      <c r="B6" s="4" t="s">
        <v>43</v>
      </c>
      <c r="C6" s="71">
        <f>'№1-1（伐倒）'!F12</f>
        <v>1158346</v>
      </c>
      <c r="D6" s="369"/>
      <c r="E6" s="370"/>
    </row>
    <row r="7" spans="1:5" ht="24" customHeight="1" x14ac:dyDescent="0.15">
      <c r="A7" s="1"/>
      <c r="B7" s="2" t="s">
        <v>44</v>
      </c>
      <c r="C7" s="71">
        <f>'№1-2（造材）'!F18</f>
        <v>1026986</v>
      </c>
      <c r="D7" s="369"/>
      <c r="E7" s="370"/>
    </row>
    <row r="8" spans="1:5" ht="24" customHeight="1" x14ac:dyDescent="0.15">
      <c r="A8" s="1"/>
      <c r="B8" s="2" t="s">
        <v>45</v>
      </c>
      <c r="C8" s="68">
        <f>'№1-3（集材）'!F12</f>
        <v>2718826</v>
      </c>
      <c r="D8" s="369"/>
      <c r="E8" s="370"/>
    </row>
    <row r="9" spans="1:5" ht="24" customHeight="1" x14ac:dyDescent="0.15">
      <c r="A9" s="1"/>
      <c r="B9" s="7" t="s">
        <v>146</v>
      </c>
      <c r="C9" s="91">
        <f>'№1-4（森林作業道作設）'!$F$19</f>
        <v>1561608</v>
      </c>
      <c r="D9" s="371"/>
      <c r="E9" s="372"/>
    </row>
    <row r="10" spans="1:5" ht="24" customHeight="1" x14ac:dyDescent="0.15">
      <c r="A10" s="1"/>
      <c r="B10" s="2" t="s">
        <v>116</v>
      </c>
      <c r="C10" s="73">
        <f>'№1-5（その他作業）'!$F$18</f>
        <v>637961</v>
      </c>
      <c r="D10" s="375"/>
      <c r="E10" s="376"/>
    </row>
    <row r="11" spans="1:5" ht="24" customHeight="1" x14ac:dyDescent="0.15">
      <c r="A11" s="1"/>
      <c r="B11" s="4"/>
      <c r="C11" s="68"/>
      <c r="D11" s="369"/>
      <c r="E11" s="370"/>
    </row>
    <row r="12" spans="1:5" ht="24" customHeight="1" x14ac:dyDescent="0.15">
      <c r="A12" s="1"/>
      <c r="B12" s="2"/>
      <c r="C12" s="68"/>
      <c r="D12" s="369"/>
      <c r="E12" s="370"/>
    </row>
    <row r="13" spans="1:5" ht="24" customHeight="1" x14ac:dyDescent="0.15">
      <c r="A13" s="1"/>
      <c r="B13" s="2"/>
      <c r="C13" s="68"/>
      <c r="D13" s="369"/>
      <c r="E13" s="370"/>
    </row>
    <row r="14" spans="1:5" ht="24" customHeight="1" x14ac:dyDescent="0.15">
      <c r="A14" s="1"/>
      <c r="B14" s="2"/>
      <c r="C14" s="68"/>
      <c r="D14" s="369"/>
      <c r="E14" s="370"/>
    </row>
    <row r="15" spans="1:5" ht="24" customHeight="1" x14ac:dyDescent="0.15">
      <c r="A15" s="6"/>
      <c r="B15" s="7"/>
      <c r="C15" s="91"/>
      <c r="D15" s="371"/>
      <c r="E15" s="372"/>
    </row>
    <row r="16" spans="1:5" ht="24" customHeight="1" x14ac:dyDescent="0.15">
      <c r="A16" s="363" t="s">
        <v>47</v>
      </c>
      <c r="B16" s="364"/>
      <c r="C16" s="92">
        <f>SUM(C6:C15)</f>
        <v>7103727</v>
      </c>
      <c r="D16" s="373"/>
      <c r="E16" s="374"/>
    </row>
    <row r="17" spans="1:5" ht="24" customHeight="1" x14ac:dyDescent="0.15">
      <c r="A17" s="365"/>
      <c r="B17" s="366"/>
      <c r="C17" s="93">
        <f>INT(C16/1000)*1000</f>
        <v>7103000</v>
      </c>
      <c r="D17" s="377" t="s">
        <v>120</v>
      </c>
      <c r="E17" s="378"/>
    </row>
  </sheetData>
  <sheetProtection sheet="1" objects="1" scenarios="1"/>
  <mergeCells count="16">
    <mergeCell ref="D3:E4"/>
    <mergeCell ref="A16:B17"/>
    <mergeCell ref="A1:E1"/>
    <mergeCell ref="D5:E5"/>
    <mergeCell ref="D6:E6"/>
    <mergeCell ref="D7:E7"/>
    <mergeCell ref="D15:E15"/>
    <mergeCell ref="D16:E16"/>
    <mergeCell ref="D8:E8"/>
    <mergeCell ref="D9:E9"/>
    <mergeCell ref="D10:E10"/>
    <mergeCell ref="D11:E11"/>
    <mergeCell ref="D12:E12"/>
    <mergeCell ref="D13:E13"/>
    <mergeCell ref="D17:E17"/>
    <mergeCell ref="D14:E14"/>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A1:H12"/>
  <sheetViews>
    <sheetView showGridLines="0" view="pageBreakPreview" zoomScaleNormal="100" zoomScaleSheetLayoutView="100" workbookViewId="0">
      <selection activeCell="E8" sqref="E8"/>
    </sheetView>
  </sheetViews>
  <sheetFormatPr defaultRowHeight="14.25" x14ac:dyDescent="0.15"/>
  <cols>
    <col min="1" max="1" width="22.625" customWidth="1"/>
    <col min="2" max="2" width="22.5" customWidth="1"/>
    <col min="3" max="3" width="10.375" customWidth="1"/>
    <col min="4" max="4" width="7.125" customWidth="1"/>
    <col min="5" max="5" width="13.5" customWidth="1"/>
    <col min="6" max="6" width="14" customWidth="1"/>
    <col min="7" max="7" width="9.25" customWidth="1"/>
    <col min="8" max="8" width="19.625" customWidth="1"/>
  </cols>
  <sheetData>
    <row r="1" spans="1:8" ht="18.75" x14ac:dyDescent="0.15">
      <c r="A1" s="356" t="s">
        <v>48</v>
      </c>
      <c r="B1" s="356"/>
      <c r="C1" s="356"/>
      <c r="D1" s="356"/>
      <c r="E1" s="356"/>
      <c r="F1" s="356"/>
      <c r="G1" s="356"/>
      <c r="H1" s="356"/>
    </row>
    <row r="2" spans="1:8" ht="10.5" customHeight="1" x14ac:dyDescent="0.15">
      <c r="A2" s="26"/>
      <c r="B2" s="26"/>
      <c r="C2" s="26"/>
      <c r="D2" s="26"/>
      <c r="E2" s="26"/>
      <c r="F2" s="26"/>
      <c r="G2" s="26"/>
      <c r="H2" s="26"/>
    </row>
    <row r="3" spans="1:8" ht="13.5" customHeight="1" x14ac:dyDescent="0.15">
      <c r="E3" s="14"/>
      <c r="F3" s="14" t="s">
        <v>38</v>
      </c>
      <c r="G3" s="19" t="str">
        <f>条件入力表!B6</f>
        <v>搬出間伐及び下刈り、荒廃竹林整備事業</v>
      </c>
      <c r="H3" s="40"/>
    </row>
    <row r="4" spans="1:8" ht="13.5" customHeight="1" x14ac:dyDescent="0.15">
      <c r="D4" s="30"/>
      <c r="E4" s="14"/>
      <c r="F4" s="14" t="s">
        <v>39</v>
      </c>
      <c r="G4" s="379" t="s">
        <v>43</v>
      </c>
      <c r="H4" s="379"/>
    </row>
    <row r="5" spans="1:8" ht="13.5" customHeight="1" x14ac:dyDescent="0.15">
      <c r="D5" s="30"/>
      <c r="E5" s="14"/>
      <c r="F5" s="14" t="s">
        <v>40</v>
      </c>
      <c r="G5" s="80">
        <f>条件入力表!C14*条件入力表!C19</f>
        <v>4500</v>
      </c>
      <c r="H5" s="18" t="s">
        <v>49</v>
      </c>
    </row>
    <row r="6" spans="1:8" ht="24" customHeight="1" x14ac:dyDescent="0.15">
      <c r="A6" s="5" t="s">
        <v>21</v>
      </c>
      <c r="B6" s="28" t="s">
        <v>41</v>
      </c>
      <c r="C6" s="28" t="s">
        <v>50</v>
      </c>
      <c r="D6" s="28" t="s">
        <v>24</v>
      </c>
      <c r="E6" s="28" t="s">
        <v>25</v>
      </c>
      <c r="F6" s="28" t="s">
        <v>51</v>
      </c>
      <c r="G6" s="380" t="s">
        <v>27</v>
      </c>
      <c r="H6" s="368"/>
    </row>
    <row r="7" spans="1:8" ht="27" customHeight="1" x14ac:dyDescent="0.15">
      <c r="A7" s="3" t="s">
        <v>16</v>
      </c>
      <c r="B7" s="4"/>
      <c r="C7" s="90">
        <f>G7*G$5/100</f>
        <v>23.4</v>
      </c>
      <c r="D7" s="29" t="s">
        <v>52</v>
      </c>
      <c r="E7" s="68">
        <f>条件入力表!B24</f>
        <v>24800</v>
      </c>
      <c r="F7" s="239">
        <f>ROUNDDOWN(C7*E7,0)</f>
        <v>580320</v>
      </c>
      <c r="G7" s="69">
        <f>IF(条件入力表!C$20&lt;22,作業工程表!D39,IF(AND(22&lt;=条件入力表!C$20,条件入力表!C$20&lt;28),作業工程表!E39,IF(28&lt;=条件入力表!C$20,作業工程表!F39)))</f>
        <v>0.52</v>
      </c>
      <c r="H7" s="20" t="s">
        <v>53</v>
      </c>
    </row>
    <row r="8" spans="1:8" ht="27" customHeight="1" x14ac:dyDescent="0.15">
      <c r="A8" s="1" t="s">
        <v>17</v>
      </c>
      <c r="B8" s="2"/>
      <c r="C8" s="90">
        <f>G8*G$5/100</f>
        <v>23.4</v>
      </c>
      <c r="D8" s="27" t="s">
        <v>52</v>
      </c>
      <c r="E8" s="73">
        <f>条件入力表!B25</f>
        <v>21900</v>
      </c>
      <c r="F8" s="239">
        <f>ROUNDDOWN(C8*E8,0)</f>
        <v>512460</v>
      </c>
      <c r="G8" s="240">
        <f>IF(条件入力表!C$20&lt;22,作業工程表!D40,IF(AND(22&lt;=条件入力表!C$20,条件入力表!C$20&lt;28),作業工程表!E40,IF(28&lt;=条件入力表!C$20,作業工程表!F40)))</f>
        <v>0.52</v>
      </c>
      <c r="H8" s="21" t="s">
        <v>53</v>
      </c>
    </row>
    <row r="9" spans="1:8" ht="24" customHeight="1" x14ac:dyDescent="0.15">
      <c r="A9" s="6" t="s">
        <v>54</v>
      </c>
      <c r="B9" s="7"/>
      <c r="C9" s="77">
        <f>作業工程表!F41</f>
        <v>0.06</v>
      </c>
      <c r="D9" s="8"/>
      <c r="E9" s="16"/>
      <c r="F9" s="88">
        <f>H9*C9</f>
        <v>65566.8</v>
      </c>
      <c r="G9" s="24" t="s">
        <v>31</v>
      </c>
      <c r="H9" s="79">
        <f>SUM(F7:F8)</f>
        <v>1092780</v>
      </c>
    </row>
    <row r="10" spans="1:8" ht="24" customHeight="1" x14ac:dyDescent="0.15">
      <c r="A10" s="6"/>
      <c r="B10" s="7"/>
      <c r="C10" s="7"/>
      <c r="D10" s="8"/>
      <c r="E10" s="16"/>
      <c r="F10" s="16"/>
      <c r="G10" s="369"/>
      <c r="H10" s="370"/>
    </row>
    <row r="11" spans="1:8" ht="24" customHeight="1" x14ac:dyDescent="0.15">
      <c r="A11" s="6"/>
      <c r="B11" s="7"/>
      <c r="C11" s="7"/>
      <c r="D11" s="8"/>
      <c r="E11" s="16"/>
      <c r="F11" s="16"/>
      <c r="G11" s="10"/>
      <c r="H11" s="11"/>
    </row>
    <row r="12" spans="1:8" ht="24" customHeight="1" x14ac:dyDescent="0.15">
      <c r="A12" s="5" t="s">
        <v>55</v>
      </c>
      <c r="B12" s="9"/>
      <c r="C12" s="9"/>
      <c r="D12" s="28"/>
      <c r="E12" s="17"/>
      <c r="F12" s="89">
        <f>ROUNDDOWN(SUM(F7:F9),0)</f>
        <v>1158346</v>
      </c>
      <c r="G12" s="12" t="s">
        <v>56</v>
      </c>
      <c r="H12" s="13" t="s">
        <v>57</v>
      </c>
    </row>
  </sheetData>
  <sheetProtection sheet="1" objects="1" scenarios="1"/>
  <mergeCells count="4">
    <mergeCell ref="G10:H10"/>
    <mergeCell ref="A1:H1"/>
    <mergeCell ref="G4:H4"/>
    <mergeCell ref="G6:H6"/>
  </mergeCells>
  <phoneticPr fontI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FF"/>
  </sheetPr>
  <dimension ref="A1:N18"/>
  <sheetViews>
    <sheetView showGridLines="0" view="pageBreakPreview" zoomScaleNormal="100" zoomScaleSheetLayoutView="100" workbookViewId="0">
      <selection activeCell="E10" sqref="E10"/>
    </sheetView>
  </sheetViews>
  <sheetFormatPr defaultRowHeight="14.25" x14ac:dyDescent="0.15"/>
  <cols>
    <col min="1" max="1" width="22.625" customWidth="1"/>
    <col min="2" max="2" width="22.5" customWidth="1"/>
    <col min="3" max="3" width="10.375" customWidth="1"/>
    <col min="4" max="4" width="7.125" customWidth="1"/>
    <col min="5" max="5" width="13.5" customWidth="1"/>
    <col min="6" max="6" width="17.625" customWidth="1"/>
    <col min="7" max="7" width="9.25" customWidth="1"/>
    <col min="8" max="8" width="19.625" customWidth="1"/>
  </cols>
  <sheetData>
    <row r="1" spans="1:14" ht="18.75" x14ac:dyDescent="0.15">
      <c r="A1" s="356" t="s">
        <v>58</v>
      </c>
      <c r="B1" s="356"/>
      <c r="C1" s="356"/>
      <c r="D1" s="356"/>
      <c r="E1" s="356"/>
      <c r="F1" s="356"/>
      <c r="G1" s="356"/>
      <c r="H1" s="356"/>
    </row>
    <row r="2" spans="1:14" ht="10.5" customHeight="1" x14ac:dyDescent="0.15">
      <c r="A2" s="26"/>
      <c r="B2" s="26"/>
      <c r="C2" s="26"/>
      <c r="D2" s="26"/>
      <c r="E2" s="26"/>
      <c r="F2" s="26"/>
      <c r="G2" s="26"/>
      <c r="H2" s="26"/>
    </row>
    <row r="3" spans="1:14" ht="13.5" customHeight="1" x14ac:dyDescent="0.15">
      <c r="E3" s="14"/>
      <c r="F3" s="14" t="s">
        <v>38</v>
      </c>
      <c r="G3" s="19" t="str">
        <f>条件入力表!B6</f>
        <v>搬出間伐及び下刈り、荒廃竹林整備事業</v>
      </c>
      <c r="H3" s="40"/>
    </row>
    <row r="4" spans="1:14" ht="13.5" customHeight="1" x14ac:dyDescent="0.15">
      <c r="D4" s="30"/>
      <c r="E4" s="14"/>
      <c r="F4" s="14" t="s">
        <v>39</v>
      </c>
      <c r="G4" s="122" t="str">
        <f>条件入力表!F11</f>
        <v>造材（プロセッサ0.45）</v>
      </c>
      <c r="H4" s="14"/>
    </row>
    <row r="5" spans="1:14" ht="13.5" customHeight="1" x14ac:dyDescent="0.15">
      <c r="D5" s="30"/>
      <c r="E5" s="14"/>
      <c r="F5" s="14" t="s">
        <v>59</v>
      </c>
      <c r="G5" s="80">
        <f>条件入力表!C21</f>
        <v>600</v>
      </c>
      <c r="H5" s="18" t="s">
        <v>60</v>
      </c>
    </row>
    <row r="6" spans="1:14" ht="24" customHeight="1" x14ac:dyDescent="0.15">
      <c r="A6" s="5" t="s">
        <v>21</v>
      </c>
      <c r="B6" s="28" t="s">
        <v>41</v>
      </c>
      <c r="C6" s="28" t="s">
        <v>50</v>
      </c>
      <c r="D6" s="28" t="s">
        <v>24</v>
      </c>
      <c r="E6" s="28" t="s">
        <v>25</v>
      </c>
      <c r="F6" s="28" t="s">
        <v>51</v>
      </c>
      <c r="G6" s="367" t="s">
        <v>27</v>
      </c>
      <c r="H6" s="368"/>
      <c r="M6" s="81"/>
      <c r="N6" s="81"/>
    </row>
    <row r="7" spans="1:14" ht="27" customHeight="1" x14ac:dyDescent="0.15">
      <c r="A7" s="3" t="s">
        <v>18</v>
      </c>
      <c r="B7" s="4" t="s">
        <v>61</v>
      </c>
      <c r="C7" s="67">
        <f>G5*G7/10</f>
        <v>18</v>
      </c>
      <c r="D7" s="29" t="s">
        <v>52</v>
      </c>
      <c r="E7" s="68">
        <f>条件入力表!B26</f>
        <v>24800</v>
      </c>
      <c r="F7" s="68">
        <f>C7*E7</f>
        <v>446400</v>
      </c>
      <c r="G7" s="69">
        <f>IF(G$4="造材（プロセッサ0.45）",作業工程表!J39,IF(G$4="造材（プロセッサ0.28）",作業工程表!K39,0))</f>
        <v>0.3</v>
      </c>
      <c r="H7" s="20" t="s">
        <v>62</v>
      </c>
      <c r="M7" s="81"/>
      <c r="N7" s="81"/>
    </row>
    <row r="8" spans="1:14" ht="27" customHeight="1" x14ac:dyDescent="0.15">
      <c r="A8" s="1" t="s">
        <v>54</v>
      </c>
      <c r="B8" s="100">
        <f>IF(G$4="造材（プロセッサ0.45）",10/作業工程表!J39,IF(G$4="造材（プロセッサ0.28）",10/作業工程表!K39,0))</f>
        <v>33.333333333333336</v>
      </c>
      <c r="C8" s="67">
        <f>IF(B8=0,0,G5/B8)</f>
        <v>18</v>
      </c>
      <c r="D8" s="27" t="s">
        <v>63</v>
      </c>
      <c r="E8" s="15"/>
      <c r="F8" s="68">
        <f>C8*G8</f>
        <v>580586.72727272729</v>
      </c>
      <c r="G8" s="70">
        <f>IF(G$4="造材（プロセッサ0.45）",諸雑費!N15,IF(G$4="造材（プロセッサ0.28）",諸雑費!#REF!,0))</f>
        <v>32254.81818181818</v>
      </c>
      <c r="H8" s="21" t="s">
        <v>64</v>
      </c>
      <c r="M8" s="81"/>
      <c r="N8" s="81"/>
    </row>
    <row r="9" spans="1:14" ht="27" customHeight="1" x14ac:dyDescent="0.15">
      <c r="A9" s="46"/>
      <c r="B9" s="47"/>
      <c r="C9" s="47"/>
      <c r="D9" s="48"/>
      <c r="E9" s="49"/>
      <c r="F9" s="75"/>
      <c r="G9" s="50"/>
      <c r="H9" s="44"/>
    </row>
    <row r="10" spans="1:14" ht="27" customHeight="1" x14ac:dyDescent="0.15">
      <c r="A10" s="53" t="s">
        <v>16</v>
      </c>
      <c r="B10" s="51" t="s">
        <v>65</v>
      </c>
      <c r="C10" s="76">
        <f>G$5/10*G10*条件入力表!C10</f>
        <v>0</v>
      </c>
      <c r="D10" s="29" t="s">
        <v>52</v>
      </c>
      <c r="E10" s="68">
        <f>条件入力表!B24</f>
        <v>24800</v>
      </c>
      <c r="F10" s="71">
        <f t="shared" ref="F10:F15" si="0">ROUNDDOWN(C10*E10,0)</f>
        <v>0</v>
      </c>
      <c r="G10" s="72">
        <f>IF(G$4="造材（チェーンソー）",IF(条件入力表!C$20&lt;22,作業工程表!O39,IF(AND(22&lt;=条件入力表!C$20,条件入力表!C$20&lt;28),作業工程表!P39,IF(28&lt;=条件入力表!C$20,作業工程表!Q39))),0)</f>
        <v>0</v>
      </c>
      <c r="H10" s="20" t="s">
        <v>62</v>
      </c>
    </row>
    <row r="11" spans="1:14" ht="27" customHeight="1" x14ac:dyDescent="0.15">
      <c r="A11" s="54" t="s">
        <v>17</v>
      </c>
      <c r="B11" s="52" t="s">
        <v>65</v>
      </c>
      <c r="C11" s="76">
        <f>G$5/10*G11*条件入力表!C10</f>
        <v>0</v>
      </c>
      <c r="D11" s="27" t="s">
        <v>52</v>
      </c>
      <c r="E11" s="73">
        <f>条件入力表!B25</f>
        <v>21900</v>
      </c>
      <c r="F11" s="71">
        <f t="shared" si="0"/>
        <v>0</v>
      </c>
      <c r="G11" s="74">
        <f>IF(G$4="造材（チェーンソー）",IF(条件入力表!C$20&lt;22,作業工程表!O40,IF(AND(22&lt;=条件入力表!C$20,条件入力表!C$20&lt;28),作業工程表!P40,IF(28&lt;=条件入力表!C$20,作業工程表!Q40))),0)</f>
        <v>0</v>
      </c>
      <c r="H11" s="21" t="s">
        <v>62</v>
      </c>
    </row>
    <row r="12" spans="1:14" ht="27" customHeight="1" x14ac:dyDescent="0.15">
      <c r="A12" s="54" t="s">
        <v>16</v>
      </c>
      <c r="B12" s="52" t="s">
        <v>66</v>
      </c>
      <c r="C12" s="76">
        <f>G$5/10*G12*条件入力表!C11</f>
        <v>0</v>
      </c>
      <c r="D12" s="27" t="s">
        <v>52</v>
      </c>
      <c r="E12" s="73">
        <f>条件入力表!B24</f>
        <v>24800</v>
      </c>
      <c r="F12" s="71">
        <f t="shared" si="0"/>
        <v>0</v>
      </c>
      <c r="G12" s="74">
        <f>IF(G$4="造材（チェーンソー）",IF(条件入力表!C$20&lt;22,作業工程表!O39+作業工程表!O43,IF(AND(22&lt;=条件入力表!C$20,条件入力表!C$20&lt;28),作業工程表!P39+作業工程表!P43,IF(28&lt;=条件入力表!C$20,作業工程表!Q39+作業工程表!Q43))),0)</f>
        <v>0</v>
      </c>
      <c r="H12" s="21" t="s">
        <v>62</v>
      </c>
    </row>
    <row r="13" spans="1:14" ht="27" customHeight="1" x14ac:dyDescent="0.15">
      <c r="A13" s="54" t="s">
        <v>17</v>
      </c>
      <c r="B13" s="52" t="s">
        <v>66</v>
      </c>
      <c r="C13" s="76">
        <f>G$5/10*G13*条件入力表!C11</f>
        <v>0</v>
      </c>
      <c r="D13" s="27" t="s">
        <v>52</v>
      </c>
      <c r="E13" s="73">
        <f>条件入力表!B25</f>
        <v>21900</v>
      </c>
      <c r="F13" s="71">
        <f t="shared" si="0"/>
        <v>0</v>
      </c>
      <c r="G13" s="74">
        <f>IF(G$4="造材（チェーンソー）",IF(条件入力表!C$20&lt;22,作業工程表!O40+作業工程表!O43,IF(AND(22&lt;=条件入力表!C$20,条件入力表!C$20&lt;28),作業工程表!P40+作業工程表!P43,IF(28&lt;=条件入力表!C$20,作業工程表!Q40+作業工程表!Q43))),0)</f>
        <v>0</v>
      </c>
      <c r="H13" s="21" t="s">
        <v>62</v>
      </c>
    </row>
    <row r="14" spans="1:14" ht="27" customHeight="1" x14ac:dyDescent="0.15">
      <c r="A14" s="54" t="s">
        <v>16</v>
      </c>
      <c r="B14" s="52" t="s">
        <v>67</v>
      </c>
      <c r="C14" s="76">
        <f>G$5/10*G14*条件入力表!C12</f>
        <v>0</v>
      </c>
      <c r="D14" s="27" t="s">
        <v>52</v>
      </c>
      <c r="E14" s="73">
        <f>条件入力表!B24</f>
        <v>24800</v>
      </c>
      <c r="F14" s="71">
        <f t="shared" si="0"/>
        <v>0</v>
      </c>
      <c r="G14" s="74">
        <f>IF(G$4="造材（チェーンソー）",IF(条件入力表!C$20&lt;22,作業工程表!O39+作業工程表!O44,IF(AND(22&lt;=条件入力表!C$20,条件入力表!C$20&lt;28),作業工程表!P39+作業工程表!P44,IF(28&lt;=条件入力表!C$20,作業工程表!Q39+作業工程表!Q44))),0)</f>
        <v>0</v>
      </c>
      <c r="H14" s="21" t="s">
        <v>62</v>
      </c>
    </row>
    <row r="15" spans="1:14" ht="27" customHeight="1" x14ac:dyDescent="0.15">
      <c r="A15" s="54" t="s">
        <v>17</v>
      </c>
      <c r="B15" s="52" t="s">
        <v>67</v>
      </c>
      <c r="C15" s="76">
        <f>G$5/10*G15*条件入力表!C12</f>
        <v>0</v>
      </c>
      <c r="D15" s="27" t="s">
        <v>52</v>
      </c>
      <c r="E15" s="73">
        <f>条件入力表!B25</f>
        <v>21900</v>
      </c>
      <c r="F15" s="71">
        <f t="shared" si="0"/>
        <v>0</v>
      </c>
      <c r="G15" s="74">
        <f>IF(G$4="造材（チェーンソー）",IF(条件入力表!C$20&lt;22,作業工程表!O40+作業工程表!O44,IF(AND(22&lt;=条件入力表!C$20,条件入力表!C$20&lt;28),作業工程表!P40+作業工程表!P44,IF(28&lt;=条件入力表!C$20,作業工程表!Q40+作業工程表!Q44))),0)</f>
        <v>0</v>
      </c>
      <c r="H15" s="21" t="s">
        <v>62</v>
      </c>
    </row>
    <row r="16" spans="1:14" ht="24" customHeight="1" x14ac:dyDescent="0.15">
      <c r="A16" s="6" t="s">
        <v>54</v>
      </c>
      <c r="B16" s="7"/>
      <c r="C16" s="77">
        <f>IF(G$4="造材（チェーンソー）",IF(条件入力表!C$20&lt;22,作業工程表!O41,IF(AND(22&lt;=条件入力表!C$20,条件入力表!C$20&lt;28),作業工程表!P41,IF(28&lt;=条件入力表!C$20,作業工程表!Q41))),0)</f>
        <v>0</v>
      </c>
      <c r="D16" s="8"/>
      <c r="E16" s="16"/>
      <c r="F16" s="78">
        <f>ROUNDDOWN(H16*C16,0)</f>
        <v>0</v>
      </c>
      <c r="G16" s="24" t="s">
        <v>31</v>
      </c>
      <c r="H16" s="79">
        <f>SUM(F10:F15)</f>
        <v>0</v>
      </c>
    </row>
    <row r="17" spans="1:8" ht="24" customHeight="1" x14ac:dyDescent="0.15">
      <c r="A17" s="6"/>
      <c r="B17" s="7"/>
      <c r="C17" s="7"/>
      <c r="D17" s="8"/>
      <c r="E17" s="16"/>
      <c r="F17" s="16"/>
      <c r="G17" s="10"/>
      <c r="H17" s="11"/>
    </row>
    <row r="18" spans="1:8" ht="24" customHeight="1" x14ac:dyDescent="0.15">
      <c r="A18" s="5" t="s">
        <v>55</v>
      </c>
      <c r="B18" s="9"/>
      <c r="C18" s="9"/>
      <c r="D18" s="28"/>
      <c r="E18" s="17"/>
      <c r="F18" s="82">
        <f>ROUNDDOWN(SUM(F7:F16),0)</f>
        <v>1026986</v>
      </c>
      <c r="G18" s="12" t="s">
        <v>56</v>
      </c>
      <c r="H18" s="13" t="s">
        <v>57</v>
      </c>
    </row>
  </sheetData>
  <sheetProtection sheet="1" objects="1" scenarios="1"/>
  <mergeCells count="2">
    <mergeCell ref="A1:H1"/>
    <mergeCell ref="G6:H6"/>
  </mergeCells>
  <phoneticPr fontI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sheetPr>
  <dimension ref="A1:O12"/>
  <sheetViews>
    <sheetView showGridLines="0" view="pageBreakPreview" zoomScaleNormal="100" zoomScaleSheetLayoutView="100" workbookViewId="0">
      <selection activeCell="D14" sqref="D14"/>
    </sheetView>
  </sheetViews>
  <sheetFormatPr defaultRowHeight="14.25" x14ac:dyDescent="0.15"/>
  <cols>
    <col min="1" max="1" width="22.625" customWidth="1"/>
    <col min="2" max="2" width="22.5" customWidth="1"/>
    <col min="3" max="3" width="10.375" customWidth="1"/>
    <col min="4" max="4" width="7.125" customWidth="1"/>
    <col min="5" max="5" width="13.5" customWidth="1"/>
    <col min="6" max="6" width="14" customWidth="1"/>
    <col min="7" max="7" width="9.25" customWidth="1"/>
    <col min="8" max="8" width="19.625" customWidth="1"/>
  </cols>
  <sheetData>
    <row r="1" spans="1:15" ht="18.75" x14ac:dyDescent="0.15">
      <c r="A1" s="356" t="s">
        <v>68</v>
      </c>
      <c r="B1" s="356"/>
      <c r="C1" s="356"/>
      <c r="D1" s="356"/>
      <c r="E1" s="356"/>
      <c r="F1" s="356"/>
      <c r="G1" s="356"/>
      <c r="H1" s="356"/>
    </row>
    <row r="2" spans="1:15" ht="10.5" customHeight="1" x14ac:dyDescent="0.15">
      <c r="A2" s="26"/>
      <c r="B2" s="26"/>
      <c r="C2" s="26"/>
      <c r="D2" s="26"/>
      <c r="E2" s="26"/>
      <c r="F2" s="26"/>
      <c r="G2" s="26"/>
      <c r="H2" s="26"/>
    </row>
    <row r="3" spans="1:15" ht="13.5" customHeight="1" x14ac:dyDescent="0.15">
      <c r="E3" s="14"/>
      <c r="F3" s="14" t="s">
        <v>38</v>
      </c>
      <c r="G3" s="19" t="str">
        <f>条件入力表!B6</f>
        <v>搬出間伐及び下刈り、荒廃竹林整備事業</v>
      </c>
      <c r="H3" s="40"/>
    </row>
    <row r="4" spans="1:15" ht="13.5" customHeight="1" x14ac:dyDescent="0.15">
      <c r="D4" s="30"/>
      <c r="E4" s="14"/>
      <c r="F4" s="14" t="s">
        <v>39</v>
      </c>
      <c r="G4" s="122" t="str">
        <f>条件入力表!F12</f>
        <v>集材（車両系）</v>
      </c>
      <c r="H4" s="14"/>
    </row>
    <row r="5" spans="1:15" ht="13.5" customHeight="1" x14ac:dyDescent="0.15">
      <c r="D5" s="30"/>
      <c r="E5" s="14"/>
      <c r="F5" s="14" t="s">
        <v>59</v>
      </c>
      <c r="G5" s="80">
        <f>条件入力表!C21</f>
        <v>600</v>
      </c>
      <c r="H5" s="18" t="s">
        <v>60</v>
      </c>
    </row>
    <row r="6" spans="1:15" ht="24" customHeight="1" x14ac:dyDescent="0.15">
      <c r="A6" s="5" t="s">
        <v>21</v>
      </c>
      <c r="B6" s="28" t="s">
        <v>41</v>
      </c>
      <c r="C6" s="28" t="s">
        <v>50</v>
      </c>
      <c r="D6" s="28" t="s">
        <v>24</v>
      </c>
      <c r="E6" s="28" t="s">
        <v>25</v>
      </c>
      <c r="F6" s="28" t="s">
        <v>51</v>
      </c>
      <c r="G6" s="367" t="s">
        <v>27</v>
      </c>
      <c r="H6" s="368"/>
      <c r="M6" s="81"/>
      <c r="N6" s="81"/>
    </row>
    <row r="7" spans="1:15" ht="27" customHeight="1" x14ac:dyDescent="0.15">
      <c r="A7" s="3" t="s">
        <v>18</v>
      </c>
      <c r="B7" s="4" t="str">
        <f>G$4&amp;条件入力表!C17</f>
        <v>集材（車両系）定性</v>
      </c>
      <c r="C7" s="76">
        <f>G7/10*G$5</f>
        <v>22.2</v>
      </c>
      <c r="D7" s="29" t="s">
        <v>52</v>
      </c>
      <c r="E7" s="83">
        <f>条件入力表!B26</f>
        <v>24800</v>
      </c>
      <c r="F7" s="84">
        <f>ROUNDDOWN(C7*E7,0)</f>
        <v>550560</v>
      </c>
      <c r="G7" s="85">
        <f>IF(条件入力表!C17="定性",IF(G$4="集材（車両系）",IF(条件入力表!C$20&lt;22,作業工程表!V39,IF(AND(22&lt;=条件入力表!C$20,条件入力表!C$20&lt;28),作業工程表!W39,IF(28&lt;=条件入力表!C$20,作業工程表!X39))),IF(G$4="集材（架線系）",IF(条件入力表!C$20&lt;22,作業工程表!AC39,IF(AND(22&lt;=条件入力表!C$20,条件入力表!C$20&lt;28),作業工程表!AD39,IF(28&lt;=条件入力表!C$20,作業工程表!AE39))),0)),IF(G$4="集材（車両系）",IF(条件入力表!C$20&lt;22,作業工程表!V41,IF(AND(22&lt;=条件入力表!C$20,条件入力表!C$20&lt;28),作業工程表!W41,IF(28&lt;=条件入力表!C$20,作業工程表!X41))),IF(G$4="集材（架線系）",IF(条件入力表!C$20&lt;22,作業工程表!AC41,IF(AND(22&lt;=条件入力表!C$20,条件入力表!C$20&lt;28),作業工程表!AD41,IF(28&lt;=条件入力表!C$20,作業工程表!AE41))),0)))</f>
        <v>0.37</v>
      </c>
      <c r="H7" s="20" t="s">
        <v>62</v>
      </c>
      <c r="M7" s="81"/>
      <c r="N7" s="81"/>
    </row>
    <row r="8" spans="1:15" ht="27" customHeight="1" x14ac:dyDescent="0.15">
      <c r="A8" s="1" t="s">
        <v>17</v>
      </c>
      <c r="B8" s="2" t="str">
        <f>G$4&amp;条件入力表!C17</f>
        <v>集材（車両系）定性</v>
      </c>
      <c r="C8" s="76">
        <f>G8/10*G$5</f>
        <v>45</v>
      </c>
      <c r="D8" s="27" t="s">
        <v>52</v>
      </c>
      <c r="E8" s="86">
        <f>条件入力表!B25</f>
        <v>21900</v>
      </c>
      <c r="F8" s="73">
        <f>ROUNDDOWN(C8*E8,0)</f>
        <v>985500</v>
      </c>
      <c r="G8" s="87">
        <f>IF(条件入力表!C17="定性",IF(G$4="集材（車両系）",IF(条件入力表!C$20&lt;22,作業工程表!V40,IF(AND(22&lt;=条件入力表!C$20,条件入力表!C$20&lt;28),作業工程表!W40,IF(28&lt;=条件入力表!C$20,作業工程表!X40))),IF(G$4="集材（架線系）",IF(条件入力表!C$20&lt;22,作業工程表!AC40,IF(AND(22&lt;=条件入力表!C$20,条件入力表!C$20&lt;28),作業工程表!AD40,IF(28&lt;=条件入力表!C$20,作業工程表!AE40))),0)),IF(G$4="集材（車両系）",IF(条件入力表!C$20&lt;22,作業工程表!V42,IF(AND(22&lt;=条件入力表!C$20,条件入力表!C$20&lt;28),作業工程表!W42,IF(28&lt;=条件入力表!C$20,作業工程表!X42))),IF(G$4="集材（架線系）",IF(条件入力表!C$20&lt;22,作業工程表!AC42,IF(AND(22&lt;=条件入力表!C$20,条件入力表!C$20&lt;28),作業工程表!AD42,IF(28&lt;=条件入力表!C$20,作業工程表!AE42))),0)))</f>
        <v>0.75</v>
      </c>
      <c r="H8" s="21" t="s">
        <v>62</v>
      </c>
      <c r="L8" s="57"/>
      <c r="M8" s="57"/>
      <c r="N8" s="57"/>
      <c r="O8" s="57"/>
    </row>
    <row r="9" spans="1:15" ht="24" customHeight="1" x14ac:dyDescent="0.15">
      <c r="A9" s="6" t="s">
        <v>54</v>
      </c>
      <c r="B9" s="7"/>
      <c r="C9" s="77">
        <f>IF(G$4="集材（車両系）",IF(条件入力表!C$20&lt;22,作業工程表!V43,IF(AND(22&lt;=条件入力表!C$20,条件入力表!C$20&lt;28),作業工程表!W43,IF(28&lt;=条件入力表!C$20,作業工程表!X43))),IF(G$4="集材（架線系）",IF(条件入力表!C$20&lt;22,作業工程表!AC43,IF(AND(22&lt;=条件入力表!C$20,条件入力表!C$20&lt;28),作業工程表!AD43,IF(28&lt;=条件入力表!C$20,作業工程表!AE43))),0))</f>
        <v>0.77</v>
      </c>
      <c r="D9" s="8"/>
      <c r="E9" s="16"/>
      <c r="F9" s="88">
        <f>ROUNDDOWN(C9*H9,0)</f>
        <v>1182766</v>
      </c>
      <c r="G9" s="24" t="s">
        <v>31</v>
      </c>
      <c r="H9" s="180">
        <f>ROUNDDOWN(SUM(F7:F8),0)</f>
        <v>1536060</v>
      </c>
    </row>
    <row r="10" spans="1:15" ht="24" customHeight="1" x14ac:dyDescent="0.15">
      <c r="A10" s="6"/>
      <c r="B10" s="7"/>
      <c r="C10" s="7"/>
      <c r="D10" s="8"/>
      <c r="E10" s="16"/>
      <c r="F10" s="16"/>
      <c r="G10" s="369"/>
      <c r="H10" s="370"/>
    </row>
    <row r="11" spans="1:15" ht="24" customHeight="1" x14ac:dyDescent="0.15">
      <c r="A11" s="6"/>
      <c r="B11" s="7"/>
      <c r="C11" s="7"/>
      <c r="D11" s="8"/>
      <c r="E11" s="16"/>
      <c r="F11" s="16"/>
      <c r="G11" s="10"/>
      <c r="H11" s="11"/>
    </row>
    <row r="12" spans="1:15" ht="24" customHeight="1" x14ac:dyDescent="0.15">
      <c r="A12" s="5" t="s">
        <v>55</v>
      </c>
      <c r="B12" s="9"/>
      <c r="C12" s="9"/>
      <c r="D12" s="28"/>
      <c r="E12" s="17"/>
      <c r="F12" s="89">
        <f>ROUNDDOWN(SUM(F7:F9),0)</f>
        <v>2718826</v>
      </c>
      <c r="G12" s="12" t="s">
        <v>56</v>
      </c>
      <c r="H12" s="13" t="s">
        <v>57</v>
      </c>
    </row>
  </sheetData>
  <sheetProtection sheet="1" objects="1" scenarios="1"/>
  <mergeCells count="3">
    <mergeCell ref="G10:H10"/>
    <mergeCell ref="A1:H1"/>
    <mergeCell ref="G6:H6"/>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274B5-4AF7-46FA-824D-F5A1538DF57B}">
  <sheetPr>
    <tabColor rgb="FFFFCCFF"/>
  </sheetPr>
  <dimension ref="A1:H19"/>
  <sheetViews>
    <sheetView view="pageBreakPreview" zoomScaleNormal="100" zoomScaleSheetLayoutView="100" workbookViewId="0">
      <selection activeCell="G9" sqref="G9"/>
    </sheetView>
  </sheetViews>
  <sheetFormatPr defaultRowHeight="14.25" x14ac:dyDescent="0.15"/>
  <cols>
    <col min="1" max="1" width="22.625" customWidth="1"/>
    <col min="2" max="2" width="22.5" customWidth="1"/>
    <col min="3" max="3" width="10.375" customWidth="1"/>
    <col min="4" max="4" width="7.125" customWidth="1"/>
    <col min="5" max="5" width="13.5" customWidth="1"/>
    <col min="6" max="6" width="14" customWidth="1"/>
    <col min="7" max="7" width="9.25" customWidth="1"/>
    <col min="8" max="8" width="19.625" customWidth="1"/>
  </cols>
  <sheetData>
    <row r="1" spans="1:8" ht="18.75" x14ac:dyDescent="0.15">
      <c r="A1" s="356" t="s">
        <v>119</v>
      </c>
      <c r="B1" s="356"/>
      <c r="C1" s="356"/>
      <c r="D1" s="356"/>
      <c r="E1" s="356"/>
      <c r="F1" s="356"/>
      <c r="G1" s="356"/>
      <c r="H1" s="356"/>
    </row>
    <row r="2" spans="1:8" ht="10.5" customHeight="1" x14ac:dyDescent="0.15">
      <c r="A2" s="115"/>
      <c r="B2" s="115"/>
      <c r="C2" s="115"/>
      <c r="D2" s="115"/>
      <c r="E2" s="115"/>
      <c r="F2" s="58"/>
      <c r="G2" s="58"/>
      <c r="H2" s="58"/>
    </row>
    <row r="3" spans="1:8" ht="13.5" customHeight="1" x14ac:dyDescent="0.15">
      <c r="E3" s="14"/>
      <c r="F3" s="59" t="s">
        <v>38</v>
      </c>
      <c r="G3" s="381" t="str">
        <f>条件入力表!B6</f>
        <v>搬出間伐及び下刈り、荒廃竹林整備事業</v>
      </c>
      <c r="H3" s="381"/>
    </row>
    <row r="4" spans="1:8" ht="13.5" customHeight="1" x14ac:dyDescent="0.15">
      <c r="D4" s="30"/>
      <c r="E4" s="14"/>
      <c r="F4" s="14" t="s">
        <v>39</v>
      </c>
      <c r="G4" s="59" t="s">
        <v>146</v>
      </c>
      <c r="H4" s="14"/>
    </row>
    <row r="5" spans="1:8" ht="13.5" customHeight="1" x14ac:dyDescent="0.15">
      <c r="D5" s="30"/>
      <c r="E5" s="14"/>
      <c r="F5" s="14" t="s">
        <v>156</v>
      </c>
      <c r="G5" s="80">
        <f>条件入力表!C22</f>
        <v>1200</v>
      </c>
      <c r="H5" s="18" t="s">
        <v>157</v>
      </c>
    </row>
    <row r="6" spans="1:8" ht="24" customHeight="1" x14ac:dyDescent="0.15">
      <c r="A6" s="5" t="s">
        <v>21</v>
      </c>
      <c r="B6" s="116" t="s">
        <v>41</v>
      </c>
      <c r="C6" s="116" t="s">
        <v>50</v>
      </c>
      <c r="D6" s="116" t="s">
        <v>24</v>
      </c>
      <c r="E6" s="116" t="s">
        <v>25</v>
      </c>
      <c r="F6" s="116" t="s">
        <v>51</v>
      </c>
      <c r="G6" s="367" t="s">
        <v>27</v>
      </c>
      <c r="H6" s="368"/>
    </row>
    <row r="7" spans="1:8" ht="27" customHeight="1" x14ac:dyDescent="0.15">
      <c r="A7" s="125" t="s">
        <v>18</v>
      </c>
      <c r="B7" s="51" t="s">
        <v>184</v>
      </c>
      <c r="C7" s="67">
        <f>G$5/100*G7</f>
        <v>27.36</v>
      </c>
      <c r="D7" s="117" t="s">
        <v>52</v>
      </c>
      <c r="E7" s="68">
        <f>条件入力表!$B$26</f>
        <v>24800</v>
      </c>
      <c r="F7" s="68">
        <f>C7*E7</f>
        <v>678528</v>
      </c>
      <c r="G7" s="140">
        <f>IF(条件入力表!C15&lt;15,森林作業道作設諸雑費等!H14,IF(条件入力表!C15&gt;=25,森林作業道作設諸雑費等!H16,森林作業道作設諸雑費等!H15))</f>
        <v>2.2799999999999998</v>
      </c>
      <c r="H7" s="20" t="s">
        <v>158</v>
      </c>
    </row>
    <row r="8" spans="1:8" ht="27" customHeight="1" x14ac:dyDescent="0.15">
      <c r="A8" s="126" t="s">
        <v>17</v>
      </c>
      <c r="B8" s="128" t="s">
        <v>159</v>
      </c>
      <c r="C8" s="67">
        <f>G$5/100*G8</f>
        <v>3.12</v>
      </c>
      <c r="D8" s="117" t="s">
        <v>52</v>
      </c>
      <c r="E8" s="68">
        <f>条件入力表!$B$25</f>
        <v>21900</v>
      </c>
      <c r="F8" s="68">
        <f>C8*E8</f>
        <v>68328</v>
      </c>
      <c r="G8" s="174">
        <f>IF(条件入力表!C15&lt;15,森林作業道作設諸雑費等!O14,IF(条件入力表!C15&gt;=25,森林作業道作設諸雑費等!O16,森林作業道作設諸雑費等!O15))</f>
        <v>0.26</v>
      </c>
      <c r="H8" s="21" t="s">
        <v>158</v>
      </c>
    </row>
    <row r="9" spans="1:8" ht="24" customHeight="1" x14ac:dyDescent="0.15">
      <c r="A9" s="127" t="s">
        <v>54</v>
      </c>
      <c r="B9" s="173"/>
      <c r="C9" s="175"/>
      <c r="D9" s="176"/>
      <c r="E9" s="177"/>
      <c r="F9" s="68">
        <f>G5/100*G9</f>
        <v>814752</v>
      </c>
      <c r="G9" s="70">
        <f>IF(条件入力表!C15&lt;15,森林作業道作設諸雑費等!P14,IF(条件入力表!C15&gt;=25,森林作業道作設諸雑費等!P16,森林作業道作設諸雑費等!P15))</f>
        <v>67896</v>
      </c>
      <c r="H9" s="21" t="s">
        <v>196</v>
      </c>
    </row>
    <row r="10" spans="1:8" ht="24" customHeight="1" x14ac:dyDescent="0.15">
      <c r="A10" s="127"/>
      <c r="B10" s="128"/>
      <c r="C10" s="129"/>
      <c r="D10" s="130"/>
      <c r="E10" s="131"/>
      <c r="F10" s="131"/>
      <c r="G10" s="132"/>
      <c r="H10" s="133"/>
    </row>
    <row r="11" spans="1:8" ht="24" customHeight="1" x14ac:dyDescent="0.15">
      <c r="A11" s="134"/>
      <c r="B11" s="128"/>
      <c r="C11" s="129"/>
      <c r="D11" s="130"/>
      <c r="E11" s="131"/>
      <c r="F11" s="131"/>
      <c r="G11" s="135"/>
      <c r="H11" s="133"/>
    </row>
    <row r="12" spans="1:8" ht="24" customHeight="1" x14ac:dyDescent="0.15">
      <c r="A12" s="127"/>
      <c r="B12" s="128"/>
      <c r="C12" s="129"/>
      <c r="D12" s="130"/>
      <c r="E12" s="131"/>
      <c r="F12" s="131"/>
      <c r="G12" s="132"/>
      <c r="H12" s="133"/>
    </row>
    <row r="13" spans="1:8" ht="24" customHeight="1" x14ac:dyDescent="0.15">
      <c r="A13" s="127"/>
      <c r="B13" s="128"/>
      <c r="C13" s="129"/>
      <c r="D13" s="130"/>
      <c r="E13" s="131"/>
      <c r="F13" s="131"/>
      <c r="G13" s="132"/>
      <c r="H13" s="133"/>
    </row>
    <row r="14" spans="1:8" ht="24" customHeight="1" x14ac:dyDescent="0.15">
      <c r="A14" s="127"/>
      <c r="B14" s="128"/>
      <c r="C14" s="129"/>
      <c r="D14" s="130"/>
      <c r="E14" s="131"/>
      <c r="F14" s="131"/>
      <c r="G14" s="132"/>
      <c r="H14" s="133"/>
    </row>
    <row r="15" spans="1:8" ht="24" customHeight="1" x14ac:dyDescent="0.15">
      <c r="A15" s="127"/>
      <c r="B15" s="128"/>
      <c r="C15" s="129"/>
      <c r="D15" s="130"/>
      <c r="E15" s="131"/>
      <c r="F15" s="131"/>
      <c r="G15" s="132"/>
      <c r="H15" s="133"/>
    </row>
    <row r="16" spans="1:8" ht="24" customHeight="1" x14ac:dyDescent="0.15">
      <c r="A16" s="127"/>
      <c r="B16" s="128"/>
      <c r="C16" s="129"/>
      <c r="D16" s="130"/>
      <c r="E16" s="131"/>
      <c r="F16" s="131"/>
      <c r="G16" s="132"/>
      <c r="H16" s="133"/>
    </row>
    <row r="17" spans="1:8" ht="24" customHeight="1" x14ac:dyDescent="0.15">
      <c r="A17" s="127"/>
      <c r="B17" s="128"/>
      <c r="C17" s="129"/>
      <c r="D17" s="130"/>
      <c r="E17" s="131"/>
      <c r="F17" s="131"/>
      <c r="G17" s="132"/>
      <c r="H17" s="133"/>
    </row>
    <row r="18" spans="1:8" ht="24" customHeight="1" x14ac:dyDescent="0.15">
      <c r="A18" s="127"/>
      <c r="B18" s="128"/>
      <c r="C18" s="129"/>
      <c r="D18" s="130"/>
      <c r="E18" s="131"/>
      <c r="F18" s="131"/>
      <c r="G18" s="136"/>
      <c r="H18" s="137"/>
    </row>
    <row r="19" spans="1:8" ht="24" customHeight="1" x14ac:dyDescent="0.15">
      <c r="A19" s="5" t="s">
        <v>55</v>
      </c>
      <c r="B19" s="9"/>
      <c r="C19" s="9"/>
      <c r="D19" s="116"/>
      <c r="E19" s="17"/>
      <c r="F19" s="89">
        <f>ROUNDDOWN(SUM(F7:F18),0)</f>
        <v>1561608</v>
      </c>
      <c r="G19" s="12" t="s">
        <v>56</v>
      </c>
      <c r="H19" s="13" t="s">
        <v>57</v>
      </c>
    </row>
  </sheetData>
  <sheetProtection sheet="1" objects="1" scenarios="1"/>
  <mergeCells count="3">
    <mergeCell ref="A1:H1"/>
    <mergeCell ref="G6:H6"/>
    <mergeCell ref="G3:H3"/>
  </mergeCells>
  <phoneticPr fontId="1"/>
  <pageMargins left="0.7" right="0.7" top="0.75" bottom="0.75"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BA867-68FD-47FA-A5AA-58EF9E3EE60A}">
  <sheetPr>
    <tabColor rgb="FFFFCCFF"/>
  </sheetPr>
  <dimension ref="A1:H18"/>
  <sheetViews>
    <sheetView view="pageBreakPreview" zoomScaleNormal="100" zoomScaleSheetLayoutView="100" workbookViewId="0">
      <selection activeCell="I23" sqref="I23"/>
    </sheetView>
  </sheetViews>
  <sheetFormatPr defaultColWidth="9" defaultRowHeight="14.25" x14ac:dyDescent="0.15"/>
  <cols>
    <col min="1" max="1" width="22.625" style="320" customWidth="1"/>
    <col min="2" max="2" width="22.5" style="320" customWidth="1"/>
    <col min="3" max="3" width="10.375" style="320" customWidth="1"/>
    <col min="4" max="4" width="7.125" style="320" customWidth="1"/>
    <col min="5" max="5" width="13.5" style="320" customWidth="1"/>
    <col min="6" max="6" width="14" style="320" customWidth="1"/>
    <col min="7" max="7" width="9.25" style="320" customWidth="1"/>
    <col min="8" max="8" width="19.625" style="320" customWidth="1"/>
    <col min="9" max="16384" width="9" style="320"/>
  </cols>
  <sheetData>
    <row r="1" spans="1:8" ht="18.75" x14ac:dyDescent="0.15">
      <c r="A1" s="382" t="s">
        <v>154</v>
      </c>
      <c r="B1" s="382"/>
      <c r="C1" s="382"/>
      <c r="D1" s="382"/>
      <c r="E1" s="382"/>
      <c r="F1" s="382"/>
      <c r="G1" s="382"/>
      <c r="H1" s="382"/>
    </row>
    <row r="2" spans="1:8" ht="10.5" customHeight="1" x14ac:dyDescent="0.15">
      <c r="A2" s="321"/>
      <c r="B2" s="321"/>
      <c r="C2" s="321"/>
      <c r="D2" s="321"/>
      <c r="E2" s="321"/>
      <c r="F2" s="322"/>
      <c r="G2" s="322"/>
      <c r="H2" s="322"/>
    </row>
    <row r="3" spans="1:8" ht="13.5" customHeight="1" x14ac:dyDescent="0.15">
      <c r="E3" s="323"/>
      <c r="F3" s="324" t="s">
        <v>38</v>
      </c>
      <c r="G3" s="324" t="str">
        <f>条件入力表!B6</f>
        <v>搬出間伐及び下刈り、荒廃竹林整備事業</v>
      </c>
      <c r="H3" s="325"/>
    </row>
    <row r="4" spans="1:8" ht="13.5" customHeight="1" x14ac:dyDescent="0.15">
      <c r="D4" s="326"/>
      <c r="E4" s="323"/>
      <c r="F4" s="323" t="s">
        <v>39</v>
      </c>
      <c r="G4" s="319" t="s">
        <v>212</v>
      </c>
      <c r="H4" s="323"/>
    </row>
    <row r="5" spans="1:8" ht="24" customHeight="1" x14ac:dyDescent="0.15">
      <c r="A5" s="327" t="s">
        <v>21</v>
      </c>
      <c r="B5" s="328" t="s">
        <v>41</v>
      </c>
      <c r="C5" s="328" t="s">
        <v>50</v>
      </c>
      <c r="D5" s="328" t="s">
        <v>24</v>
      </c>
      <c r="E5" s="328" t="s">
        <v>25</v>
      </c>
      <c r="F5" s="328" t="s">
        <v>51</v>
      </c>
      <c r="G5" s="383" t="s">
        <v>27</v>
      </c>
      <c r="H5" s="384"/>
    </row>
    <row r="6" spans="1:8" ht="27" customHeight="1" x14ac:dyDescent="0.15">
      <c r="A6" s="281" t="s">
        <v>16</v>
      </c>
      <c r="B6" s="282" t="s">
        <v>126</v>
      </c>
      <c r="C6" s="283">
        <f>6.8*3</f>
        <v>20.399999999999999</v>
      </c>
      <c r="D6" s="284" t="s">
        <v>52</v>
      </c>
      <c r="E6" s="285">
        <v>24800</v>
      </c>
      <c r="F6" s="285">
        <f>ROUNDDOWN(C6*E6,0)</f>
        <v>505920</v>
      </c>
      <c r="G6" s="286">
        <v>6.1</v>
      </c>
      <c r="H6" s="287" t="s">
        <v>75</v>
      </c>
    </row>
    <row r="7" spans="1:8" ht="27" customHeight="1" x14ac:dyDescent="0.15">
      <c r="A7" s="288" t="s">
        <v>17</v>
      </c>
      <c r="B7" s="289" t="s">
        <v>126</v>
      </c>
      <c r="C7" s="283">
        <f>0.8*3</f>
        <v>2.4000000000000004</v>
      </c>
      <c r="D7" s="290" t="s">
        <v>52</v>
      </c>
      <c r="E7" s="285">
        <v>21900</v>
      </c>
      <c r="F7" s="285">
        <f>ROUNDDOWN(C7*E7,0)</f>
        <v>52560</v>
      </c>
      <c r="G7" s="291">
        <v>0.7</v>
      </c>
      <c r="H7" s="292" t="s">
        <v>75</v>
      </c>
    </row>
    <row r="8" spans="1:8" ht="24" customHeight="1" x14ac:dyDescent="0.15">
      <c r="A8" s="293" t="s">
        <v>54</v>
      </c>
      <c r="B8" s="294"/>
      <c r="C8" s="295">
        <v>0.02</v>
      </c>
      <c r="D8" s="296"/>
      <c r="E8" s="297"/>
      <c r="F8" s="297">
        <f>ROUNDDOWN(H8*C8,0)</f>
        <v>11169</v>
      </c>
      <c r="G8" s="298" t="s">
        <v>31</v>
      </c>
      <c r="H8" s="299">
        <f>ROUNDDOWN(SUM(F6:F7),0)</f>
        <v>558480</v>
      </c>
    </row>
    <row r="9" spans="1:8" ht="24" customHeight="1" x14ac:dyDescent="0.15">
      <c r="A9" s="293"/>
      <c r="B9" s="300"/>
      <c r="C9" s="301"/>
      <c r="D9" s="301"/>
      <c r="E9" s="302"/>
      <c r="F9" s="297"/>
      <c r="G9" s="303"/>
      <c r="H9" s="304"/>
    </row>
    <row r="10" spans="1:8" ht="24" customHeight="1" x14ac:dyDescent="0.15">
      <c r="A10" s="293" t="s">
        <v>16</v>
      </c>
      <c r="B10" s="294" t="s">
        <v>211</v>
      </c>
      <c r="C10" s="305">
        <f>G10*3</f>
        <v>1.3800000000000001</v>
      </c>
      <c r="D10" s="306" t="s">
        <v>52</v>
      </c>
      <c r="E10" s="297">
        <v>24800</v>
      </c>
      <c r="F10" s="307">
        <f>ROUNDDOWN(C10*E10,0)</f>
        <v>34224</v>
      </c>
      <c r="G10" s="291">
        <v>0.46</v>
      </c>
      <c r="H10" s="308" t="s">
        <v>53</v>
      </c>
    </row>
    <row r="11" spans="1:8" ht="24" customHeight="1" x14ac:dyDescent="0.15">
      <c r="A11" s="293" t="s">
        <v>17</v>
      </c>
      <c r="B11" s="294" t="s">
        <v>211</v>
      </c>
      <c r="C11" s="309">
        <f>G11*3</f>
        <v>1.3800000000000001</v>
      </c>
      <c r="D11" s="310" t="s">
        <v>52</v>
      </c>
      <c r="E11" s="297">
        <v>21900</v>
      </c>
      <c r="F11" s="297">
        <f>ROUNDDOWN(C11*E11,0)</f>
        <v>30222</v>
      </c>
      <c r="G11" s="291">
        <v>0.46</v>
      </c>
      <c r="H11" s="308" t="s">
        <v>53</v>
      </c>
    </row>
    <row r="12" spans="1:8" ht="24" customHeight="1" x14ac:dyDescent="0.15">
      <c r="A12" s="293" t="s">
        <v>54</v>
      </c>
      <c r="B12" s="300"/>
      <c r="C12" s="311">
        <v>0.06</v>
      </c>
      <c r="D12" s="312"/>
      <c r="E12" s="297"/>
      <c r="F12" s="297">
        <f>ROUNDDOWN(H12*C12,0)</f>
        <v>3866</v>
      </c>
      <c r="G12" s="313" t="s">
        <v>31</v>
      </c>
      <c r="H12" s="314">
        <f>ROUNDDOWN(SUM(F10:F11),0)</f>
        <v>64446</v>
      </c>
    </row>
    <row r="13" spans="1:8" ht="24" customHeight="1" x14ac:dyDescent="0.15">
      <c r="A13" s="293"/>
      <c r="B13" s="294"/>
      <c r="C13" s="315"/>
      <c r="D13" s="296"/>
      <c r="E13" s="297"/>
      <c r="F13" s="297"/>
      <c r="G13" s="316"/>
      <c r="H13" s="317"/>
    </row>
    <row r="14" spans="1:8" ht="24" customHeight="1" x14ac:dyDescent="0.15">
      <c r="A14" s="293"/>
      <c r="B14" s="294"/>
      <c r="C14" s="295"/>
      <c r="D14" s="296"/>
      <c r="E14" s="297"/>
      <c r="F14" s="297"/>
      <c r="G14" s="316"/>
      <c r="H14" s="317"/>
    </row>
    <row r="15" spans="1:8" ht="24" customHeight="1" x14ac:dyDescent="0.15">
      <c r="A15" s="293"/>
      <c r="B15" s="294"/>
      <c r="C15" s="295"/>
      <c r="D15" s="296"/>
      <c r="E15" s="297"/>
      <c r="F15" s="297"/>
      <c r="G15" s="316"/>
      <c r="H15" s="317"/>
    </row>
    <row r="16" spans="1:8" ht="24" customHeight="1" x14ac:dyDescent="0.15">
      <c r="A16" s="293"/>
      <c r="B16" s="294"/>
      <c r="C16" s="295"/>
      <c r="D16" s="296"/>
      <c r="E16" s="297"/>
      <c r="F16" s="297"/>
      <c r="G16" s="385"/>
      <c r="H16" s="386"/>
    </row>
    <row r="17" spans="1:8" ht="24" customHeight="1" x14ac:dyDescent="0.15">
      <c r="A17" s="293"/>
      <c r="B17" s="294"/>
      <c r="C17" s="295"/>
      <c r="D17" s="296"/>
      <c r="E17" s="297"/>
      <c r="F17" s="297"/>
      <c r="G17" s="300"/>
      <c r="H17" s="318"/>
    </row>
    <row r="18" spans="1:8" ht="24" customHeight="1" x14ac:dyDescent="0.15">
      <c r="A18" s="327" t="s">
        <v>55</v>
      </c>
      <c r="B18" s="329"/>
      <c r="C18" s="329"/>
      <c r="D18" s="328"/>
      <c r="E18" s="330"/>
      <c r="F18" s="331">
        <f>ROUNDDOWN(SUM(F6:F17),0)</f>
        <v>637961</v>
      </c>
      <c r="G18" s="332" t="s">
        <v>56</v>
      </c>
      <c r="H18" s="202" t="s">
        <v>57</v>
      </c>
    </row>
  </sheetData>
  <sheetProtection formatCells="0"/>
  <mergeCells count="3">
    <mergeCell ref="A1:H1"/>
    <mergeCell ref="G5:H5"/>
    <mergeCell ref="G16:H16"/>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61076-BD1D-4490-94FC-4DEC853079BF}">
  <sheetPr>
    <tabColor rgb="FFCCFFFF"/>
  </sheetPr>
  <dimension ref="A1:AK80"/>
  <sheetViews>
    <sheetView workbookViewId="0">
      <selection activeCell="AC42" sqref="AC42"/>
    </sheetView>
  </sheetViews>
  <sheetFormatPr defaultRowHeight="14.25" x14ac:dyDescent="0.15"/>
  <cols>
    <col min="1" max="1" width="23.625" customWidth="1"/>
    <col min="2" max="20" width="11.5" customWidth="1"/>
    <col min="21" max="21" width="12.25" customWidth="1"/>
    <col min="22" max="151" width="11.5" customWidth="1"/>
  </cols>
  <sheetData>
    <row r="1" spans="1:37" ht="30.75" customHeight="1" x14ac:dyDescent="0.15">
      <c r="A1" s="64" t="s">
        <v>219</v>
      </c>
      <c r="B1" s="206" t="s">
        <v>220</v>
      </c>
    </row>
    <row r="2" spans="1:37" x14ac:dyDescent="0.15">
      <c r="B2" s="114"/>
    </row>
    <row r="3" spans="1:37" x14ac:dyDescent="0.15">
      <c r="B3" s="114"/>
    </row>
    <row r="4" spans="1:37" ht="21" x14ac:dyDescent="0.15">
      <c r="A4" s="35" t="s">
        <v>70</v>
      </c>
      <c r="B4" s="207" t="s">
        <v>230</v>
      </c>
      <c r="C4" s="207"/>
      <c r="D4" s="207"/>
      <c r="F4" t="s">
        <v>71</v>
      </c>
      <c r="J4" t="s">
        <v>72</v>
      </c>
    </row>
    <row r="5" spans="1:37" ht="21.75" customHeight="1" x14ac:dyDescent="0.15">
      <c r="A5" s="22" t="s">
        <v>73</v>
      </c>
      <c r="B5" s="208" t="s">
        <v>74</v>
      </c>
      <c r="C5" s="208" t="s">
        <v>24</v>
      </c>
      <c r="D5" s="208" t="s">
        <v>23</v>
      </c>
      <c r="F5" s="31" t="s">
        <v>74</v>
      </c>
      <c r="G5" s="31" t="s">
        <v>24</v>
      </c>
      <c r="H5" s="31" t="s">
        <v>23</v>
      </c>
      <c r="J5" s="31" t="s">
        <v>74</v>
      </c>
      <c r="K5" s="31" t="s">
        <v>24</v>
      </c>
      <c r="L5" s="31" t="s">
        <v>23</v>
      </c>
    </row>
    <row r="6" spans="1:37" ht="21.75" customHeight="1" x14ac:dyDescent="0.15">
      <c r="B6" s="209" t="s">
        <v>18</v>
      </c>
      <c r="C6" s="208" t="s">
        <v>75</v>
      </c>
      <c r="D6" s="210">
        <v>4.54</v>
      </c>
      <c r="F6" s="31" t="s">
        <v>16</v>
      </c>
      <c r="G6" s="31" t="s">
        <v>53</v>
      </c>
      <c r="H6" s="65">
        <v>0.11</v>
      </c>
      <c r="J6" s="31" t="s">
        <v>17</v>
      </c>
      <c r="K6" s="31" t="s">
        <v>255</v>
      </c>
      <c r="L6" s="65">
        <v>0.55000000000000004</v>
      </c>
    </row>
    <row r="7" spans="1:37" ht="21.75" customHeight="1" x14ac:dyDescent="0.15">
      <c r="B7" s="211" t="s">
        <v>76</v>
      </c>
      <c r="C7" s="207"/>
      <c r="D7" s="207"/>
      <c r="E7" s="207"/>
      <c r="F7" s="208" t="s">
        <v>17</v>
      </c>
      <c r="G7" s="208" t="s">
        <v>53</v>
      </c>
      <c r="H7" s="210">
        <v>0.25</v>
      </c>
      <c r="I7" s="207"/>
      <c r="J7" s="212" t="s">
        <v>221</v>
      </c>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row>
    <row r="8" spans="1:37" x14ac:dyDescent="0.15">
      <c r="B8" s="211" t="s">
        <v>223</v>
      </c>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row>
    <row r="9" spans="1:37" x14ac:dyDescent="0.15">
      <c r="B9" s="211"/>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row>
    <row r="10" spans="1:37" x14ac:dyDescent="0.15">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row>
    <row r="11" spans="1:37" ht="21" x14ac:dyDescent="0.15">
      <c r="A11" s="35" t="s">
        <v>77</v>
      </c>
      <c r="B11" s="207" t="s">
        <v>236</v>
      </c>
      <c r="C11" s="207"/>
      <c r="D11" s="207"/>
      <c r="E11" s="207"/>
      <c r="F11" s="207" t="s">
        <v>237</v>
      </c>
      <c r="G11" s="207"/>
      <c r="H11" s="207"/>
      <c r="I11" s="207"/>
      <c r="J11" s="207" t="s">
        <v>78</v>
      </c>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row>
    <row r="12" spans="1:37" ht="21.75" customHeight="1" x14ac:dyDescent="0.15">
      <c r="A12" s="22"/>
      <c r="B12" s="208" t="s">
        <v>74</v>
      </c>
      <c r="C12" s="208" t="s">
        <v>24</v>
      </c>
      <c r="D12" s="208" t="s">
        <v>23</v>
      </c>
      <c r="E12" s="207"/>
      <c r="F12" s="208" t="s">
        <v>74</v>
      </c>
      <c r="G12" s="208" t="s">
        <v>24</v>
      </c>
      <c r="H12" s="208" t="s">
        <v>23</v>
      </c>
      <c r="I12" s="207"/>
      <c r="J12" s="213" t="s">
        <v>79</v>
      </c>
      <c r="K12" s="214"/>
      <c r="L12" s="208" t="s">
        <v>23</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row>
    <row r="13" spans="1:37" ht="21.75" customHeight="1" x14ac:dyDescent="0.15">
      <c r="B13" s="208" t="s">
        <v>16</v>
      </c>
      <c r="C13" s="208" t="s">
        <v>75</v>
      </c>
      <c r="D13" s="210">
        <v>6.1</v>
      </c>
      <c r="E13" s="207"/>
      <c r="F13" s="208" t="s">
        <v>16</v>
      </c>
      <c r="G13" s="208" t="s">
        <v>75</v>
      </c>
      <c r="H13" s="215">
        <v>2</v>
      </c>
      <c r="I13" s="207"/>
      <c r="J13" s="208" t="s">
        <v>80</v>
      </c>
      <c r="K13" s="208"/>
      <c r="L13" s="216">
        <v>1</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row>
    <row r="14" spans="1:37" ht="21.75" customHeight="1" x14ac:dyDescent="0.15">
      <c r="B14" s="208" t="s">
        <v>17</v>
      </c>
      <c r="C14" s="208" t="s">
        <v>75</v>
      </c>
      <c r="D14" s="210">
        <v>0.7</v>
      </c>
      <c r="E14" s="207"/>
      <c r="F14" s="208" t="s">
        <v>17</v>
      </c>
      <c r="G14" s="208" t="s">
        <v>75</v>
      </c>
      <c r="H14" s="215">
        <v>0.2</v>
      </c>
      <c r="I14" s="207"/>
      <c r="J14" s="217" t="s">
        <v>81</v>
      </c>
      <c r="K14" s="208" t="s">
        <v>82</v>
      </c>
      <c r="L14" s="216">
        <v>1</v>
      </c>
      <c r="M14" s="207"/>
      <c r="N14" s="211"/>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row>
    <row r="15" spans="1:37" ht="21.75" customHeight="1" x14ac:dyDescent="0.15">
      <c r="B15" s="208" t="s">
        <v>54</v>
      </c>
      <c r="C15" s="208" t="s">
        <v>69</v>
      </c>
      <c r="D15" s="218">
        <v>0.02</v>
      </c>
      <c r="E15" s="207"/>
      <c r="F15" s="208" t="s">
        <v>54</v>
      </c>
      <c r="G15" s="208" t="s">
        <v>69</v>
      </c>
      <c r="H15" s="218">
        <v>0.02</v>
      </c>
      <c r="I15" s="207"/>
      <c r="J15" s="219" t="s">
        <v>83</v>
      </c>
      <c r="K15" s="208" t="s">
        <v>84</v>
      </c>
      <c r="L15" s="216">
        <v>0.86</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row>
    <row r="16" spans="1:37" ht="52.5" customHeight="1" x14ac:dyDescent="0.15">
      <c r="B16" s="387" t="s">
        <v>222</v>
      </c>
      <c r="C16" s="387"/>
      <c r="D16" s="387"/>
      <c r="E16" s="207"/>
      <c r="F16" s="388" t="s">
        <v>256</v>
      </c>
      <c r="G16" s="388"/>
      <c r="H16" s="388"/>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row>
    <row r="17" spans="1:37" ht="52.5" customHeight="1" x14ac:dyDescent="0.15">
      <c r="B17" s="392" t="s">
        <v>224</v>
      </c>
      <c r="C17" s="392"/>
      <c r="D17" s="392"/>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row>
    <row r="18" spans="1:37" x14ac:dyDescent="0.15">
      <c r="B18" s="220"/>
      <c r="C18" s="220"/>
      <c r="D18" s="220"/>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row>
    <row r="19" spans="1:37" ht="21" x14ac:dyDescent="0.15">
      <c r="A19" s="35" t="s">
        <v>85</v>
      </c>
      <c r="B19" s="207" t="s">
        <v>85</v>
      </c>
      <c r="C19" s="207"/>
      <c r="D19" s="207"/>
      <c r="E19" s="207"/>
      <c r="F19" s="207" t="s">
        <v>86</v>
      </c>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row>
    <row r="20" spans="1:37" ht="21.75" customHeight="1" x14ac:dyDescent="0.15">
      <c r="A20" s="22"/>
      <c r="B20" s="208" t="s">
        <v>74</v>
      </c>
      <c r="C20" s="208" t="s">
        <v>24</v>
      </c>
      <c r="D20" s="208" t="s">
        <v>23</v>
      </c>
      <c r="E20" s="207"/>
      <c r="F20" s="208" t="s">
        <v>74</v>
      </c>
      <c r="G20" s="208" t="s">
        <v>24</v>
      </c>
      <c r="H20" s="208" t="s">
        <v>23</v>
      </c>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row>
    <row r="21" spans="1:37" ht="21.75" customHeight="1" x14ac:dyDescent="0.15">
      <c r="B21" s="208" t="s">
        <v>16</v>
      </c>
      <c r="C21" s="208" t="s">
        <v>75</v>
      </c>
      <c r="D21" s="210">
        <v>6.3</v>
      </c>
      <c r="E21" s="207"/>
      <c r="F21" s="208" t="s">
        <v>16</v>
      </c>
      <c r="G21" s="208" t="s">
        <v>75</v>
      </c>
      <c r="H21" s="210">
        <v>0.46</v>
      </c>
      <c r="I21" s="207"/>
      <c r="J21" s="207"/>
      <c r="K21" s="207"/>
      <c r="L21" s="207"/>
      <c r="M21" s="207"/>
      <c r="N21" s="207"/>
      <c r="O21" s="207"/>
      <c r="P21" s="207"/>
      <c r="Q21" s="207"/>
      <c r="R21" s="207"/>
      <c r="S21" s="207"/>
      <c r="T21" s="207"/>
      <c r="U21" s="207"/>
      <c r="V21" s="207"/>
      <c r="W21" s="211"/>
      <c r="X21" s="207"/>
      <c r="Y21" s="207"/>
      <c r="Z21" s="207"/>
      <c r="AA21" s="207"/>
      <c r="AB21" s="207"/>
      <c r="AC21" s="207"/>
      <c r="AD21" s="207"/>
      <c r="AE21" s="207"/>
      <c r="AF21" s="207"/>
      <c r="AG21" s="207"/>
      <c r="AH21" s="207"/>
      <c r="AI21" s="207"/>
      <c r="AJ21" s="207"/>
      <c r="AK21" s="207"/>
    </row>
    <row r="22" spans="1:37" ht="21.75" customHeight="1" x14ac:dyDescent="0.15">
      <c r="B22" s="208" t="s">
        <v>17</v>
      </c>
      <c r="C22" s="208" t="s">
        <v>75</v>
      </c>
      <c r="D22" s="210">
        <v>0.7</v>
      </c>
      <c r="E22" s="207"/>
      <c r="F22" s="208" t="s">
        <v>17</v>
      </c>
      <c r="G22" s="208" t="s">
        <v>75</v>
      </c>
      <c r="H22" s="210">
        <v>0.46</v>
      </c>
      <c r="I22" s="207"/>
      <c r="J22" s="211"/>
      <c r="K22" s="207"/>
      <c r="L22" s="207"/>
      <c r="M22" s="207"/>
      <c r="N22" s="207"/>
      <c r="O22" s="207"/>
      <c r="P22" s="207"/>
      <c r="Q22" s="207"/>
      <c r="R22" s="207"/>
      <c r="S22" s="207"/>
      <c r="T22" s="207"/>
      <c r="U22" s="207"/>
      <c r="V22" s="207"/>
      <c r="W22" s="211"/>
      <c r="X22" s="207"/>
      <c r="Y22" s="207"/>
      <c r="Z22" s="207"/>
      <c r="AA22" s="207"/>
      <c r="AB22" s="207"/>
      <c r="AC22" s="207"/>
      <c r="AD22" s="207"/>
      <c r="AE22" s="207"/>
      <c r="AF22" s="207"/>
      <c r="AG22" s="207"/>
      <c r="AH22" s="207"/>
      <c r="AI22" s="207"/>
      <c r="AJ22" s="207"/>
      <c r="AK22" s="207"/>
    </row>
    <row r="23" spans="1:37" ht="21.75" customHeight="1" x14ac:dyDescent="0.15">
      <c r="B23" s="208" t="s">
        <v>54</v>
      </c>
      <c r="C23" s="208" t="s">
        <v>69</v>
      </c>
      <c r="D23" s="218">
        <v>0.02</v>
      </c>
      <c r="E23" s="207"/>
      <c r="F23" s="208" t="s">
        <v>54</v>
      </c>
      <c r="G23" s="208" t="s">
        <v>69</v>
      </c>
      <c r="H23" s="218">
        <v>0.06</v>
      </c>
      <c r="I23" s="207"/>
      <c r="J23" s="207"/>
      <c r="K23" s="207"/>
      <c r="L23" s="207"/>
      <c r="M23" s="207"/>
      <c r="N23" s="207"/>
      <c r="O23" s="207"/>
      <c r="P23" s="207"/>
      <c r="Q23" s="207"/>
      <c r="R23" s="207"/>
      <c r="S23" s="207"/>
      <c r="T23" s="207"/>
      <c r="U23" s="207"/>
      <c r="V23" s="207"/>
      <c r="W23" s="211"/>
      <c r="X23" s="207"/>
      <c r="Y23" s="207"/>
      <c r="Z23" s="207"/>
      <c r="AA23" s="207"/>
      <c r="AB23" s="207"/>
      <c r="AC23" s="207"/>
      <c r="AD23" s="207"/>
      <c r="AE23" s="207"/>
      <c r="AF23" s="207"/>
      <c r="AG23" s="207"/>
      <c r="AH23" s="207"/>
      <c r="AI23" s="207"/>
      <c r="AJ23" s="207"/>
      <c r="AK23" s="207"/>
    </row>
    <row r="24" spans="1:37" ht="51.75" customHeight="1" x14ac:dyDescent="0.15">
      <c r="B24" s="392" t="s">
        <v>224</v>
      </c>
      <c r="C24" s="392"/>
      <c r="D24" s="392"/>
      <c r="E24" s="207"/>
      <c r="F24" s="394" t="s">
        <v>226</v>
      </c>
      <c r="G24" s="394"/>
      <c r="H24" s="394"/>
      <c r="I24" s="207"/>
      <c r="J24" s="207"/>
      <c r="K24" s="207"/>
      <c r="L24" s="207"/>
      <c r="M24" s="207"/>
      <c r="N24" s="207"/>
      <c r="O24" s="207"/>
      <c r="P24" s="207"/>
      <c r="Q24" s="207"/>
      <c r="R24" s="207"/>
      <c r="S24" s="207"/>
      <c r="T24" s="207"/>
      <c r="U24" s="207"/>
      <c r="V24" s="207"/>
      <c r="W24" s="211"/>
      <c r="X24" s="207"/>
      <c r="Y24" s="207"/>
      <c r="Z24" s="207"/>
      <c r="AA24" s="207"/>
      <c r="AB24" s="207"/>
      <c r="AC24" s="207"/>
      <c r="AD24" s="207"/>
      <c r="AE24" s="207"/>
      <c r="AF24" s="207"/>
      <c r="AG24" s="207"/>
      <c r="AH24" s="207"/>
      <c r="AI24" s="207"/>
      <c r="AJ24" s="207"/>
      <c r="AK24" s="207"/>
    </row>
    <row r="25" spans="1:37" ht="38.25" customHeight="1" x14ac:dyDescent="0.15">
      <c r="B25" s="207"/>
      <c r="C25" s="207"/>
      <c r="D25" s="207"/>
      <c r="E25" s="207"/>
      <c r="F25" s="395" t="s">
        <v>227</v>
      </c>
      <c r="G25" s="395"/>
      <c r="H25" s="395"/>
      <c r="I25" s="207"/>
      <c r="J25" s="207"/>
      <c r="K25" s="207"/>
      <c r="L25" s="207"/>
      <c r="M25" s="207"/>
      <c r="N25" s="207"/>
      <c r="O25" s="207"/>
      <c r="P25" s="207"/>
      <c r="Q25" s="207"/>
      <c r="R25" s="207"/>
      <c r="S25" s="207"/>
      <c r="T25" s="207"/>
      <c r="U25" s="207"/>
      <c r="V25" s="207"/>
      <c r="W25" s="211"/>
      <c r="X25" s="207"/>
      <c r="Y25" s="207"/>
      <c r="Z25" s="207"/>
      <c r="AA25" s="207"/>
      <c r="AB25" s="207"/>
      <c r="AC25" s="207"/>
      <c r="AD25" s="207"/>
      <c r="AE25" s="207"/>
      <c r="AF25" s="207"/>
      <c r="AG25" s="207"/>
      <c r="AH25" s="207"/>
      <c r="AI25" s="207"/>
      <c r="AJ25" s="207"/>
      <c r="AK25" s="207"/>
    </row>
    <row r="26" spans="1:37" ht="26.25" customHeight="1" x14ac:dyDescent="0.15">
      <c r="B26" s="207"/>
      <c r="C26" s="207"/>
      <c r="D26" s="207"/>
      <c r="E26" s="207"/>
      <c r="F26" s="392" t="s">
        <v>225</v>
      </c>
      <c r="G26" s="392"/>
      <c r="H26" s="392"/>
      <c r="I26" s="207"/>
      <c r="J26" s="207"/>
      <c r="K26" s="207"/>
      <c r="L26" s="207"/>
      <c r="M26" s="207"/>
      <c r="N26" s="207"/>
      <c r="O26" s="207"/>
      <c r="P26" s="207"/>
      <c r="Q26" s="207"/>
      <c r="R26" s="207"/>
      <c r="S26" s="207"/>
      <c r="T26" s="207"/>
      <c r="U26" s="207"/>
      <c r="V26" s="207"/>
      <c r="W26" s="211"/>
      <c r="X26" s="207"/>
      <c r="Y26" s="207"/>
      <c r="Z26" s="207"/>
      <c r="AA26" s="207"/>
      <c r="AB26" s="207"/>
      <c r="AC26" s="207"/>
      <c r="AD26" s="207"/>
      <c r="AE26" s="207"/>
      <c r="AF26" s="207"/>
      <c r="AG26" s="207"/>
      <c r="AH26" s="207"/>
      <c r="AI26" s="207"/>
      <c r="AJ26" s="207"/>
      <c r="AK26" s="207"/>
    </row>
    <row r="27" spans="1:37" x14ac:dyDescent="0.15">
      <c r="B27" s="207"/>
      <c r="C27" s="207"/>
      <c r="D27" s="207"/>
      <c r="E27" s="207"/>
      <c r="F27" s="207"/>
      <c r="G27" s="207"/>
      <c r="H27" s="207"/>
      <c r="I27" s="207"/>
      <c r="J27" s="207"/>
      <c r="K27" s="207"/>
      <c r="L27" s="207"/>
      <c r="M27" s="207"/>
      <c r="N27" s="207"/>
      <c r="O27" s="207"/>
      <c r="P27" s="207"/>
      <c r="Q27" s="207"/>
      <c r="R27" s="207"/>
      <c r="S27" s="207"/>
      <c r="T27" s="207"/>
      <c r="U27" s="207"/>
      <c r="V27" s="207"/>
      <c r="W27" s="211"/>
      <c r="X27" s="207"/>
      <c r="Y27" s="207"/>
      <c r="Z27" s="207"/>
      <c r="AA27" s="207"/>
      <c r="AB27" s="207"/>
      <c r="AC27" s="207"/>
      <c r="AD27" s="207"/>
      <c r="AE27" s="207"/>
      <c r="AF27" s="207"/>
      <c r="AG27" s="207"/>
      <c r="AH27" s="207"/>
      <c r="AI27" s="207"/>
      <c r="AJ27" s="207"/>
      <c r="AK27" s="207"/>
    </row>
    <row r="28" spans="1:37" ht="21" x14ac:dyDescent="0.15">
      <c r="A28" s="35" t="s">
        <v>87</v>
      </c>
      <c r="B28" s="207" t="s">
        <v>43</v>
      </c>
      <c r="C28" s="207"/>
      <c r="D28" s="207"/>
      <c r="E28" s="207"/>
      <c r="F28" s="207" t="s">
        <v>88</v>
      </c>
      <c r="G28" s="207"/>
      <c r="H28" s="207"/>
      <c r="I28" s="207"/>
      <c r="J28" s="207" t="s">
        <v>46</v>
      </c>
      <c r="K28" s="207"/>
      <c r="L28" s="207"/>
      <c r="M28" s="207"/>
      <c r="N28" s="207" t="s">
        <v>89</v>
      </c>
      <c r="O28" s="207"/>
      <c r="P28" s="207"/>
      <c r="Q28" s="207"/>
      <c r="R28" s="211" t="s">
        <v>90</v>
      </c>
      <c r="S28" s="207"/>
      <c r="T28" s="207"/>
      <c r="U28" s="207"/>
      <c r="V28" s="207"/>
      <c r="W28" s="207"/>
      <c r="X28" s="207"/>
      <c r="Y28" s="207"/>
      <c r="Z28" s="207"/>
      <c r="AA28" s="207"/>
      <c r="AB28" s="207"/>
      <c r="AC28" s="207"/>
      <c r="AD28" s="207"/>
      <c r="AE28" s="207"/>
      <c r="AF28" s="207"/>
      <c r="AG28" s="207"/>
      <c r="AH28" s="207"/>
      <c r="AI28" s="207"/>
      <c r="AJ28" s="207"/>
      <c r="AK28" s="207"/>
    </row>
    <row r="29" spans="1:37" ht="21.75" customHeight="1" x14ac:dyDescent="0.15">
      <c r="A29" s="38"/>
      <c r="B29" s="208" t="s">
        <v>74</v>
      </c>
      <c r="C29" s="208" t="s">
        <v>24</v>
      </c>
      <c r="D29" s="208" t="s">
        <v>23</v>
      </c>
      <c r="E29" s="207"/>
      <c r="F29" s="208" t="s">
        <v>74</v>
      </c>
      <c r="G29" s="208" t="s">
        <v>24</v>
      </c>
      <c r="H29" s="208" t="s">
        <v>23</v>
      </c>
      <c r="I29" s="207"/>
      <c r="J29" s="208" t="s">
        <v>74</v>
      </c>
      <c r="K29" s="208" t="s">
        <v>24</v>
      </c>
      <c r="L29" s="208" t="s">
        <v>23</v>
      </c>
      <c r="M29" s="207"/>
      <c r="N29" s="208" t="s">
        <v>74</v>
      </c>
      <c r="O29" s="208" t="s">
        <v>24</v>
      </c>
      <c r="P29" s="208" t="s">
        <v>91</v>
      </c>
      <c r="Q29" s="207"/>
      <c r="R29" s="208" t="s">
        <v>74</v>
      </c>
      <c r="S29" s="208" t="s">
        <v>24</v>
      </c>
      <c r="T29" s="221" t="s">
        <v>92</v>
      </c>
      <c r="U29" s="221" t="s">
        <v>93</v>
      </c>
      <c r="V29" s="207"/>
      <c r="W29" s="211"/>
      <c r="X29" s="207"/>
      <c r="Y29" s="207"/>
      <c r="Z29" s="207"/>
      <c r="AA29" s="207"/>
      <c r="AB29" s="207"/>
      <c r="AC29" s="207"/>
      <c r="AD29" s="207"/>
      <c r="AE29" s="207"/>
      <c r="AF29" s="207"/>
      <c r="AG29" s="207"/>
      <c r="AH29" s="207"/>
      <c r="AI29" s="207"/>
      <c r="AJ29" s="207"/>
      <c r="AK29" s="207"/>
    </row>
    <row r="30" spans="1:37" ht="21.75" customHeight="1" x14ac:dyDescent="0.15">
      <c r="B30" s="208" t="s">
        <v>16</v>
      </c>
      <c r="C30" s="208" t="s">
        <v>53</v>
      </c>
      <c r="D30" s="210">
        <v>0.32</v>
      </c>
      <c r="E30" s="207"/>
      <c r="F30" s="208" t="s">
        <v>16</v>
      </c>
      <c r="G30" s="208" t="s">
        <v>53</v>
      </c>
      <c r="H30" s="210">
        <v>0.24</v>
      </c>
      <c r="I30" s="207"/>
      <c r="J30" s="208" t="s">
        <v>16</v>
      </c>
      <c r="K30" s="208" t="s">
        <v>53</v>
      </c>
      <c r="L30" s="216">
        <v>0.2</v>
      </c>
      <c r="M30" s="207"/>
      <c r="N30" s="208" t="s">
        <v>16</v>
      </c>
      <c r="O30" s="208" t="s">
        <v>53</v>
      </c>
      <c r="P30" s="216">
        <v>0</v>
      </c>
      <c r="Q30" s="207"/>
      <c r="R30" s="208" t="s">
        <v>16</v>
      </c>
      <c r="S30" s="208" t="s">
        <v>53</v>
      </c>
      <c r="T30" s="210">
        <v>0.16</v>
      </c>
      <c r="U30" s="210">
        <v>7.0000000000000007E-2</v>
      </c>
      <c r="V30" s="207"/>
      <c r="W30" s="207"/>
      <c r="X30" s="207"/>
      <c r="Y30" s="207"/>
      <c r="Z30" s="207"/>
      <c r="AA30" s="207"/>
      <c r="AB30" s="207"/>
      <c r="AC30" s="207"/>
      <c r="AD30" s="207"/>
      <c r="AE30" s="207"/>
      <c r="AF30" s="207"/>
      <c r="AG30" s="207"/>
      <c r="AH30" s="207"/>
      <c r="AI30" s="207"/>
      <c r="AJ30" s="207"/>
      <c r="AK30" s="207"/>
    </row>
    <row r="31" spans="1:37" ht="21.75" customHeight="1" x14ac:dyDescent="0.15">
      <c r="B31" s="208" t="s">
        <v>17</v>
      </c>
      <c r="C31" s="208" t="s">
        <v>53</v>
      </c>
      <c r="D31" s="210">
        <v>0.32</v>
      </c>
      <c r="E31" s="207"/>
      <c r="F31" s="208" t="s">
        <v>17</v>
      </c>
      <c r="G31" s="208" t="s">
        <v>53</v>
      </c>
      <c r="H31" s="210">
        <v>0.24</v>
      </c>
      <c r="I31" s="207"/>
      <c r="J31" s="208" t="s">
        <v>17</v>
      </c>
      <c r="K31" s="208" t="s">
        <v>53</v>
      </c>
      <c r="L31" s="216">
        <v>0.2</v>
      </c>
      <c r="M31" s="207"/>
      <c r="N31" s="208" t="s">
        <v>17</v>
      </c>
      <c r="O31" s="208" t="s">
        <v>53</v>
      </c>
      <c r="P31" s="216">
        <v>0.39</v>
      </c>
      <c r="Q31" s="207"/>
      <c r="R31" s="208" t="s">
        <v>17</v>
      </c>
      <c r="S31" s="208" t="s">
        <v>53</v>
      </c>
      <c r="T31" s="210">
        <v>0.16</v>
      </c>
      <c r="U31" s="210">
        <v>7.0000000000000007E-2</v>
      </c>
      <c r="V31" s="207"/>
      <c r="W31" s="207"/>
      <c r="X31" s="207"/>
      <c r="Y31" s="207"/>
      <c r="Z31" s="207"/>
      <c r="AA31" s="207"/>
      <c r="AB31" s="207"/>
      <c r="AC31" s="207"/>
      <c r="AD31" s="207"/>
      <c r="AE31" s="207"/>
      <c r="AF31" s="207"/>
      <c r="AG31" s="207"/>
      <c r="AH31" s="207"/>
      <c r="AI31" s="207"/>
      <c r="AJ31" s="207"/>
      <c r="AK31" s="207"/>
    </row>
    <row r="32" spans="1:37" ht="21.75" customHeight="1" x14ac:dyDescent="0.15">
      <c r="B32" s="208" t="s">
        <v>54</v>
      </c>
      <c r="C32" s="208" t="s">
        <v>69</v>
      </c>
      <c r="D32" s="218">
        <v>0.06</v>
      </c>
      <c r="E32" s="207"/>
      <c r="F32" s="208" t="s">
        <v>54</v>
      </c>
      <c r="G32" s="208" t="s">
        <v>69</v>
      </c>
      <c r="H32" s="218">
        <v>0.08</v>
      </c>
      <c r="I32" s="207"/>
      <c r="J32" s="208" t="s">
        <v>54</v>
      </c>
      <c r="K32" s="208" t="s">
        <v>69</v>
      </c>
      <c r="L32" s="218">
        <v>0.09</v>
      </c>
      <c r="M32" s="207"/>
      <c r="N32" s="208" t="s">
        <v>54</v>
      </c>
      <c r="O32" s="208" t="s">
        <v>69</v>
      </c>
      <c r="P32" s="218">
        <v>0.01</v>
      </c>
      <c r="Q32" s="207"/>
      <c r="R32" s="208" t="s">
        <v>54</v>
      </c>
      <c r="S32" s="208" t="s">
        <v>69</v>
      </c>
      <c r="T32" s="218">
        <v>0.04</v>
      </c>
      <c r="U32" s="218">
        <v>0.04</v>
      </c>
      <c r="V32" s="207"/>
      <c r="W32" s="207"/>
      <c r="X32" s="207"/>
      <c r="Y32" s="207"/>
      <c r="Z32" s="207"/>
      <c r="AA32" s="207"/>
      <c r="AB32" s="207"/>
      <c r="AC32" s="207"/>
      <c r="AD32" s="207"/>
      <c r="AE32" s="207"/>
      <c r="AF32" s="207"/>
      <c r="AG32" s="207"/>
      <c r="AH32" s="207"/>
      <c r="AI32" s="207"/>
      <c r="AJ32" s="207"/>
      <c r="AK32" s="207"/>
    </row>
    <row r="33" spans="1:37" ht="49.5" customHeight="1" x14ac:dyDescent="0.15">
      <c r="B33" s="387" t="s">
        <v>228</v>
      </c>
      <c r="C33" s="387"/>
      <c r="D33" s="387"/>
      <c r="E33" s="207"/>
      <c r="F33" s="387" t="s">
        <v>231</v>
      </c>
      <c r="G33" s="387"/>
      <c r="H33" s="387"/>
      <c r="I33" s="207"/>
      <c r="J33" s="387" t="s">
        <v>232</v>
      </c>
      <c r="K33" s="387"/>
      <c r="L33" s="387"/>
      <c r="M33" s="207"/>
      <c r="N33" s="387" t="s">
        <v>233</v>
      </c>
      <c r="O33" s="387"/>
      <c r="P33" s="387"/>
      <c r="Q33" s="207"/>
      <c r="R33" s="387" t="s">
        <v>251</v>
      </c>
      <c r="S33" s="387"/>
      <c r="T33" s="387"/>
      <c r="U33" s="387"/>
      <c r="V33" s="207"/>
      <c r="W33" s="207"/>
      <c r="X33" s="207"/>
      <c r="Y33" s="207"/>
      <c r="Z33" s="207"/>
      <c r="AA33" s="207"/>
      <c r="AB33" s="207"/>
      <c r="AC33" s="207"/>
      <c r="AD33" s="207"/>
      <c r="AE33" s="207"/>
      <c r="AF33" s="207"/>
      <c r="AG33" s="207"/>
      <c r="AH33" s="207"/>
      <c r="AI33" s="207"/>
      <c r="AJ33" s="207"/>
      <c r="AK33" s="207"/>
    </row>
    <row r="34" spans="1:37" ht="47.1" customHeight="1" x14ac:dyDescent="0.15">
      <c r="B34" s="392" t="s">
        <v>229</v>
      </c>
      <c r="C34" s="392"/>
      <c r="D34" s="392"/>
      <c r="E34" s="207"/>
      <c r="F34" s="392" t="s">
        <v>242</v>
      </c>
      <c r="G34" s="392"/>
      <c r="H34" s="392"/>
      <c r="I34" s="207"/>
      <c r="J34" s="392" t="s">
        <v>242</v>
      </c>
      <c r="K34" s="392"/>
      <c r="L34" s="392"/>
      <c r="M34" s="207"/>
      <c r="N34" s="392" t="s">
        <v>250</v>
      </c>
      <c r="O34" s="392"/>
      <c r="P34" s="392"/>
      <c r="Q34" s="207"/>
      <c r="R34" s="207"/>
      <c r="S34" s="207"/>
      <c r="T34" s="207"/>
      <c r="U34" s="207"/>
      <c r="V34" s="207"/>
      <c r="W34" s="207"/>
      <c r="X34" s="207"/>
      <c r="Y34" s="207"/>
      <c r="Z34" s="207"/>
      <c r="AA34" s="207"/>
      <c r="AB34" s="207"/>
      <c r="AC34" s="207"/>
      <c r="AD34" s="207"/>
      <c r="AE34" s="207"/>
      <c r="AF34" s="207"/>
      <c r="AG34" s="207"/>
      <c r="AH34" s="207"/>
      <c r="AI34" s="207"/>
      <c r="AJ34" s="207"/>
      <c r="AK34" s="207"/>
    </row>
    <row r="35" spans="1:37" x14ac:dyDescent="0.15">
      <c r="B35" s="207"/>
      <c r="C35" s="207"/>
      <c r="D35" s="207"/>
      <c r="E35" s="207"/>
      <c r="F35" s="211"/>
      <c r="G35" s="207"/>
      <c r="H35" s="207"/>
      <c r="I35" s="207"/>
      <c r="J35" s="211"/>
      <c r="K35" s="207"/>
      <c r="L35" s="207"/>
      <c r="M35" s="207"/>
      <c r="N35" s="211"/>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row>
    <row r="36" spans="1:37" ht="21" x14ac:dyDescent="0.15">
      <c r="A36" s="35" t="s">
        <v>94</v>
      </c>
      <c r="B36" s="207" t="s">
        <v>43</v>
      </c>
      <c r="C36" s="207"/>
      <c r="D36" s="207"/>
      <c r="E36" s="207"/>
      <c r="F36" s="207"/>
      <c r="G36" s="207"/>
      <c r="H36" s="207" t="s">
        <v>95</v>
      </c>
      <c r="I36" s="207"/>
      <c r="J36" s="207"/>
      <c r="K36" s="207"/>
      <c r="L36" s="207"/>
      <c r="M36" s="207" t="s">
        <v>96</v>
      </c>
      <c r="N36" s="207"/>
      <c r="O36" s="207"/>
      <c r="P36" s="207"/>
      <c r="Q36" s="207"/>
      <c r="R36" s="207"/>
      <c r="S36" s="207" t="s">
        <v>97</v>
      </c>
      <c r="T36" s="207"/>
      <c r="U36" s="207"/>
      <c r="V36" s="207"/>
      <c r="W36" s="207"/>
      <c r="X36" s="207"/>
      <c r="Y36" s="207"/>
      <c r="Z36" s="207" t="s">
        <v>98</v>
      </c>
      <c r="AA36" s="207"/>
      <c r="AB36" s="207"/>
      <c r="AC36" s="207"/>
      <c r="AD36" s="207"/>
      <c r="AE36" s="207"/>
      <c r="AF36" s="207"/>
      <c r="AG36" s="207"/>
      <c r="AH36" s="207"/>
      <c r="AI36" s="207"/>
      <c r="AJ36" s="207"/>
      <c r="AK36" s="207"/>
    </row>
    <row r="37" spans="1:37" ht="21.75" customHeight="1" x14ac:dyDescent="0.15">
      <c r="A37" s="38"/>
      <c r="B37" s="217" t="s">
        <v>74</v>
      </c>
      <c r="C37" s="217" t="s">
        <v>24</v>
      </c>
      <c r="D37" s="222"/>
      <c r="E37" s="223" t="s">
        <v>99</v>
      </c>
      <c r="F37" s="224"/>
      <c r="G37" s="207"/>
      <c r="H37" s="217" t="s">
        <v>74</v>
      </c>
      <c r="I37" s="217" t="s">
        <v>24</v>
      </c>
      <c r="J37" s="390" t="s">
        <v>23</v>
      </c>
      <c r="K37" s="390"/>
      <c r="L37" s="207"/>
      <c r="M37" s="217" t="s">
        <v>74</v>
      </c>
      <c r="N37" s="217" t="s">
        <v>24</v>
      </c>
      <c r="O37" s="222"/>
      <c r="P37" s="223" t="s">
        <v>99</v>
      </c>
      <c r="Q37" s="224"/>
      <c r="R37" s="207"/>
      <c r="S37" s="217" t="s">
        <v>208</v>
      </c>
      <c r="T37" s="217" t="s">
        <v>74</v>
      </c>
      <c r="U37" s="217" t="s">
        <v>24</v>
      </c>
      <c r="V37" s="222"/>
      <c r="W37" s="223" t="s">
        <v>99</v>
      </c>
      <c r="X37" s="224"/>
      <c r="Y37" s="207"/>
      <c r="Z37" s="217" t="s">
        <v>208</v>
      </c>
      <c r="AA37" s="217" t="s">
        <v>74</v>
      </c>
      <c r="AB37" s="217" t="s">
        <v>24</v>
      </c>
      <c r="AC37" s="222"/>
      <c r="AD37" s="223" t="s">
        <v>99</v>
      </c>
      <c r="AE37" s="224"/>
      <c r="AF37" s="207"/>
      <c r="AG37" s="207"/>
      <c r="AH37" s="207"/>
      <c r="AI37" s="207"/>
      <c r="AJ37" s="207"/>
      <c r="AK37" s="207"/>
    </row>
    <row r="38" spans="1:37" ht="25.5" customHeight="1" x14ac:dyDescent="0.15">
      <c r="B38" s="219"/>
      <c r="C38" s="219"/>
      <c r="D38" s="208" t="s">
        <v>102</v>
      </c>
      <c r="E38" s="225" t="s">
        <v>103</v>
      </c>
      <c r="F38" s="208" t="s">
        <v>104</v>
      </c>
      <c r="G38" s="207"/>
      <c r="H38" s="219"/>
      <c r="I38" s="219"/>
      <c r="J38" s="208" t="s">
        <v>100</v>
      </c>
      <c r="K38" s="208" t="s">
        <v>101</v>
      </c>
      <c r="L38" s="207"/>
      <c r="M38" s="219"/>
      <c r="N38" s="219"/>
      <c r="O38" s="208" t="s">
        <v>102</v>
      </c>
      <c r="P38" s="225" t="s">
        <v>103</v>
      </c>
      <c r="Q38" s="208" t="s">
        <v>104</v>
      </c>
      <c r="R38" s="207"/>
      <c r="S38" s="219"/>
      <c r="T38" s="219"/>
      <c r="U38" s="219"/>
      <c r="V38" s="208" t="s">
        <v>102</v>
      </c>
      <c r="W38" s="225" t="s">
        <v>103</v>
      </c>
      <c r="X38" s="208" t="s">
        <v>104</v>
      </c>
      <c r="Y38" s="207"/>
      <c r="Z38" s="219"/>
      <c r="AA38" s="219"/>
      <c r="AB38" s="219"/>
      <c r="AC38" s="208" t="s">
        <v>102</v>
      </c>
      <c r="AD38" s="225" t="s">
        <v>103</v>
      </c>
      <c r="AE38" s="208" t="s">
        <v>104</v>
      </c>
      <c r="AF38" s="207"/>
      <c r="AG38" s="207"/>
      <c r="AH38" s="207"/>
      <c r="AI38" s="207"/>
      <c r="AJ38" s="207"/>
      <c r="AK38" s="207"/>
    </row>
    <row r="39" spans="1:37" ht="21.75" customHeight="1" x14ac:dyDescent="0.15">
      <c r="B39" s="208" t="s">
        <v>16</v>
      </c>
      <c r="C39" s="208" t="s">
        <v>53</v>
      </c>
      <c r="D39" s="210">
        <v>0.42</v>
      </c>
      <c r="E39" s="210">
        <v>0.52</v>
      </c>
      <c r="F39" s="210">
        <v>0.63</v>
      </c>
      <c r="G39" s="207"/>
      <c r="H39" s="209" t="s">
        <v>18</v>
      </c>
      <c r="I39" s="208" t="s">
        <v>105</v>
      </c>
      <c r="J39" s="216">
        <v>0.3</v>
      </c>
      <c r="K39" s="210">
        <v>0.43</v>
      </c>
      <c r="L39" s="207"/>
      <c r="M39" s="208" t="s">
        <v>16</v>
      </c>
      <c r="N39" s="208" t="s">
        <v>105</v>
      </c>
      <c r="O39" s="216">
        <v>0.63</v>
      </c>
      <c r="P39" s="216">
        <v>0.52</v>
      </c>
      <c r="Q39" s="216">
        <v>0.49</v>
      </c>
      <c r="R39" s="207"/>
      <c r="S39" s="391" t="s">
        <v>207</v>
      </c>
      <c r="T39" s="209" t="s">
        <v>18</v>
      </c>
      <c r="U39" s="208" t="s">
        <v>105</v>
      </c>
      <c r="V39" s="216">
        <v>0.43</v>
      </c>
      <c r="W39" s="216">
        <v>0.37</v>
      </c>
      <c r="X39" s="216">
        <v>0.32</v>
      </c>
      <c r="Y39" s="207"/>
      <c r="Z39" s="391" t="s">
        <v>207</v>
      </c>
      <c r="AA39" s="209" t="s">
        <v>18</v>
      </c>
      <c r="AB39" s="208" t="s">
        <v>105</v>
      </c>
      <c r="AC39" s="216">
        <v>0.46</v>
      </c>
      <c r="AD39" s="216">
        <v>0.36</v>
      </c>
      <c r="AE39" s="216">
        <v>0.3</v>
      </c>
      <c r="AF39" s="207"/>
      <c r="AG39" s="207"/>
      <c r="AH39" s="207"/>
      <c r="AI39" s="207"/>
      <c r="AJ39" s="207"/>
      <c r="AK39" s="207"/>
    </row>
    <row r="40" spans="1:37" ht="21.75" customHeight="1" x14ac:dyDescent="0.15">
      <c r="B40" s="208" t="s">
        <v>17</v>
      </c>
      <c r="C40" s="208" t="s">
        <v>53</v>
      </c>
      <c r="D40" s="210">
        <v>0.42</v>
      </c>
      <c r="E40" s="210">
        <v>0.52</v>
      </c>
      <c r="F40" s="210">
        <v>0.63</v>
      </c>
      <c r="G40" s="207"/>
      <c r="H40" s="211" t="s">
        <v>106</v>
      </c>
      <c r="I40" s="207"/>
      <c r="J40" s="207"/>
      <c r="K40" s="207"/>
      <c r="L40" s="207"/>
      <c r="M40" s="208" t="s">
        <v>17</v>
      </c>
      <c r="N40" s="208" t="s">
        <v>105</v>
      </c>
      <c r="O40" s="216">
        <v>0.63</v>
      </c>
      <c r="P40" s="216">
        <v>0.52</v>
      </c>
      <c r="Q40" s="216">
        <v>0.49</v>
      </c>
      <c r="R40" s="207"/>
      <c r="S40" s="391"/>
      <c r="T40" s="208" t="s">
        <v>17</v>
      </c>
      <c r="U40" s="208" t="s">
        <v>105</v>
      </c>
      <c r="V40" s="216">
        <v>0.85</v>
      </c>
      <c r="W40" s="216">
        <v>0.75</v>
      </c>
      <c r="X40" s="216">
        <v>0.65</v>
      </c>
      <c r="Y40" s="207"/>
      <c r="Z40" s="391"/>
      <c r="AA40" s="208" t="s">
        <v>17</v>
      </c>
      <c r="AB40" s="208" t="s">
        <v>105</v>
      </c>
      <c r="AC40" s="216">
        <v>1.37</v>
      </c>
      <c r="AD40" s="216">
        <v>1.08</v>
      </c>
      <c r="AE40" s="216">
        <v>0.89</v>
      </c>
      <c r="AF40" s="207"/>
      <c r="AG40" s="207"/>
      <c r="AH40" s="207"/>
      <c r="AI40" s="207"/>
      <c r="AJ40" s="207"/>
      <c r="AK40" s="207"/>
    </row>
    <row r="41" spans="1:37" ht="21.75" customHeight="1" thickBot="1" x14ac:dyDescent="0.2">
      <c r="B41" s="208" t="s">
        <v>54</v>
      </c>
      <c r="C41" s="208" t="s">
        <v>69</v>
      </c>
      <c r="D41" s="218">
        <v>0.06</v>
      </c>
      <c r="E41" s="218">
        <v>0.06</v>
      </c>
      <c r="F41" s="218">
        <v>0.06</v>
      </c>
      <c r="G41" s="207"/>
      <c r="H41" s="211" t="s">
        <v>235</v>
      </c>
      <c r="I41" s="207"/>
      <c r="J41" s="207"/>
      <c r="K41" s="207"/>
      <c r="L41" s="207"/>
      <c r="M41" s="217" t="s">
        <v>54</v>
      </c>
      <c r="N41" s="217" t="s">
        <v>69</v>
      </c>
      <c r="O41" s="226">
        <v>0.04</v>
      </c>
      <c r="P41" s="226">
        <v>0.04</v>
      </c>
      <c r="Q41" s="226">
        <v>0.04</v>
      </c>
      <c r="R41" s="207"/>
      <c r="S41" s="391" t="s">
        <v>145</v>
      </c>
      <c r="T41" s="209" t="s">
        <v>18</v>
      </c>
      <c r="U41" s="208" t="s">
        <v>105</v>
      </c>
      <c r="V41" s="216">
        <f t="shared" ref="V41:X42" si="0">V39*0.8</f>
        <v>0.34400000000000003</v>
      </c>
      <c r="W41" s="216">
        <f t="shared" si="0"/>
        <v>0.29599999999999999</v>
      </c>
      <c r="X41" s="216">
        <f t="shared" si="0"/>
        <v>0.25600000000000001</v>
      </c>
      <c r="Y41" s="207"/>
      <c r="Z41" s="391" t="s">
        <v>145</v>
      </c>
      <c r="AA41" s="209" t="s">
        <v>18</v>
      </c>
      <c r="AB41" s="208" t="s">
        <v>105</v>
      </c>
      <c r="AC41" s="216">
        <f>AC39*0.8</f>
        <v>0.36800000000000005</v>
      </c>
      <c r="AD41" s="216">
        <f t="shared" ref="AC41:AE42" si="1">AD39*0.8</f>
        <v>0.28799999999999998</v>
      </c>
      <c r="AE41" s="216">
        <f t="shared" si="1"/>
        <v>0.24</v>
      </c>
      <c r="AF41" s="207"/>
      <c r="AG41" s="207"/>
      <c r="AH41" s="207"/>
      <c r="AI41" s="207"/>
      <c r="AJ41" s="207"/>
      <c r="AK41" s="207"/>
    </row>
    <row r="42" spans="1:37" ht="30" customHeight="1" x14ac:dyDescent="0.15">
      <c r="B42" s="387" t="s">
        <v>252</v>
      </c>
      <c r="C42" s="387"/>
      <c r="D42" s="387"/>
      <c r="E42" s="387"/>
      <c r="F42" s="387"/>
      <c r="G42" s="207"/>
      <c r="H42" s="207"/>
      <c r="I42" s="207"/>
      <c r="J42" s="207"/>
      <c r="K42" s="207"/>
      <c r="L42" s="207"/>
      <c r="M42" s="227"/>
      <c r="N42" s="228" t="s">
        <v>2</v>
      </c>
      <c r="O42" s="229">
        <v>0</v>
      </c>
      <c r="P42" s="229">
        <v>0</v>
      </c>
      <c r="Q42" s="229">
        <v>0</v>
      </c>
      <c r="R42" s="207"/>
      <c r="S42" s="391"/>
      <c r="T42" s="208" t="s">
        <v>17</v>
      </c>
      <c r="U42" s="208" t="s">
        <v>105</v>
      </c>
      <c r="V42" s="216">
        <f t="shared" si="0"/>
        <v>0.68</v>
      </c>
      <c r="W42" s="216">
        <f t="shared" si="0"/>
        <v>0.60000000000000009</v>
      </c>
      <c r="X42" s="216">
        <f t="shared" si="0"/>
        <v>0.52</v>
      </c>
      <c r="Y42" s="207"/>
      <c r="Z42" s="391"/>
      <c r="AA42" s="208" t="s">
        <v>17</v>
      </c>
      <c r="AB42" s="208" t="s">
        <v>105</v>
      </c>
      <c r="AC42" s="216">
        <f t="shared" si="1"/>
        <v>1.0960000000000001</v>
      </c>
      <c r="AD42" s="216">
        <f t="shared" si="1"/>
        <v>0.8640000000000001</v>
      </c>
      <c r="AE42" s="216">
        <f>AE40*0.8</f>
        <v>0.71200000000000008</v>
      </c>
      <c r="AF42" s="207"/>
      <c r="AG42" s="207"/>
      <c r="AH42" s="207"/>
      <c r="AI42" s="207"/>
      <c r="AJ42" s="207"/>
      <c r="AK42" s="207"/>
    </row>
    <row r="43" spans="1:37" ht="38.25" customHeight="1" x14ac:dyDescent="0.15">
      <c r="B43" s="393" t="s">
        <v>234</v>
      </c>
      <c r="C43" s="393"/>
      <c r="D43" s="393"/>
      <c r="E43" s="393"/>
      <c r="F43" s="393"/>
      <c r="G43" s="207"/>
      <c r="H43" s="207"/>
      <c r="I43" s="207"/>
      <c r="J43" s="207"/>
      <c r="K43" s="207"/>
      <c r="L43" s="207"/>
      <c r="M43" s="230" t="s">
        <v>107</v>
      </c>
      <c r="N43" s="219" t="s">
        <v>108</v>
      </c>
      <c r="O43" s="231">
        <v>0.03</v>
      </c>
      <c r="P43" s="231">
        <v>0.03</v>
      </c>
      <c r="Q43" s="231">
        <v>0.03</v>
      </c>
      <c r="R43" s="207"/>
      <c r="S43" s="208" t="s">
        <v>54</v>
      </c>
      <c r="T43" s="208"/>
      <c r="U43" s="208" t="s">
        <v>69</v>
      </c>
      <c r="V43" s="218">
        <v>0.77</v>
      </c>
      <c r="W43" s="218">
        <v>0.77</v>
      </c>
      <c r="X43" s="218">
        <v>0.77</v>
      </c>
      <c r="Y43" s="207"/>
      <c r="Z43" s="208" t="s">
        <v>54</v>
      </c>
      <c r="AA43" s="208" t="s">
        <v>54</v>
      </c>
      <c r="AB43" s="208" t="s">
        <v>69</v>
      </c>
      <c r="AC43" s="218">
        <v>0.8</v>
      </c>
      <c r="AD43" s="218">
        <v>0.8</v>
      </c>
      <c r="AE43" s="218">
        <v>0.8</v>
      </c>
      <c r="AF43" s="207"/>
      <c r="AG43" s="207"/>
      <c r="AH43" s="207"/>
      <c r="AI43" s="207"/>
      <c r="AJ43" s="207"/>
      <c r="AK43" s="207"/>
    </row>
    <row r="44" spans="1:37" ht="21.75" customHeight="1" x14ac:dyDescent="0.15">
      <c r="B44" s="207"/>
      <c r="C44" s="207"/>
      <c r="D44" s="207"/>
      <c r="E44" s="207"/>
      <c r="F44" s="207"/>
      <c r="G44" s="207"/>
      <c r="H44" s="207"/>
      <c r="I44" s="207"/>
      <c r="J44" s="207"/>
      <c r="K44" s="207"/>
      <c r="L44" s="207"/>
      <c r="M44" s="219"/>
      <c r="N44" s="208" t="s">
        <v>4</v>
      </c>
      <c r="O44" s="210">
        <v>-0.03</v>
      </c>
      <c r="P44" s="210">
        <v>-0.03</v>
      </c>
      <c r="Q44" s="210">
        <v>-0.03</v>
      </c>
      <c r="R44" s="207"/>
      <c r="S44" s="207"/>
      <c r="T44" s="207"/>
      <c r="U44" s="207"/>
      <c r="V44" s="207"/>
      <c r="W44" s="207"/>
      <c r="X44" s="207"/>
      <c r="Y44" s="207"/>
      <c r="Z44" s="207"/>
      <c r="AA44" s="207"/>
      <c r="AB44" s="207"/>
      <c r="AC44" s="207"/>
      <c r="AD44" s="207"/>
      <c r="AE44" s="207"/>
      <c r="AF44" s="207"/>
      <c r="AG44" s="207"/>
      <c r="AH44" s="207"/>
      <c r="AI44" s="207"/>
      <c r="AJ44" s="207"/>
      <c r="AK44" s="207"/>
    </row>
    <row r="45" spans="1:37" x14ac:dyDescent="0.15">
      <c r="B45" s="207"/>
      <c r="C45" s="207"/>
      <c r="D45" s="207"/>
      <c r="E45" s="207"/>
      <c r="F45" s="207"/>
      <c r="G45" s="207"/>
      <c r="H45" s="207"/>
      <c r="I45" s="207"/>
      <c r="J45" s="207"/>
      <c r="K45" s="207"/>
      <c r="L45" s="207"/>
      <c r="M45" s="387" t="s">
        <v>253</v>
      </c>
      <c r="N45" s="387"/>
      <c r="O45" s="387"/>
      <c r="P45" s="387"/>
      <c r="Q45" s="387"/>
      <c r="R45" s="207"/>
      <c r="S45" s="211" t="s">
        <v>245</v>
      </c>
      <c r="T45" s="207"/>
      <c r="U45" s="207"/>
      <c r="V45" s="207"/>
      <c r="W45" s="207"/>
      <c r="X45" s="207"/>
      <c r="Y45" s="207"/>
      <c r="Z45" s="211" t="s">
        <v>215</v>
      </c>
      <c r="AA45" s="207"/>
      <c r="AB45" s="207"/>
      <c r="AC45" s="207"/>
      <c r="AD45" s="207"/>
      <c r="AE45" s="207"/>
      <c r="AF45" s="207"/>
      <c r="AG45" s="207"/>
      <c r="AH45" s="207"/>
      <c r="AI45" s="207"/>
      <c r="AJ45" s="207"/>
      <c r="AK45" s="207"/>
    </row>
    <row r="46" spans="1:37" x14ac:dyDescent="0.15">
      <c r="B46" s="207"/>
      <c r="C46" s="207"/>
      <c r="D46" s="207"/>
      <c r="E46" s="207"/>
      <c r="F46" s="207"/>
      <c r="G46" s="207"/>
      <c r="H46" s="207"/>
      <c r="I46" s="207"/>
      <c r="J46" s="207"/>
      <c r="K46" s="207"/>
      <c r="L46" s="207"/>
      <c r="M46" s="387"/>
      <c r="N46" s="387"/>
      <c r="O46" s="387"/>
      <c r="P46" s="387"/>
      <c r="Q46" s="387"/>
      <c r="R46" s="207"/>
      <c r="S46" s="392" t="s">
        <v>246</v>
      </c>
      <c r="T46" s="392"/>
      <c r="U46" s="392"/>
      <c r="V46" s="392"/>
      <c r="W46" s="392"/>
      <c r="X46" s="392"/>
      <c r="Y46" s="207"/>
      <c r="Z46" s="211" t="s">
        <v>248</v>
      </c>
      <c r="AA46" s="207"/>
      <c r="AB46" s="207"/>
      <c r="AC46" s="207"/>
      <c r="AD46" s="207"/>
      <c r="AE46" s="207"/>
      <c r="AF46" s="207"/>
      <c r="AG46" s="207"/>
      <c r="AH46" s="207"/>
      <c r="AI46" s="207"/>
      <c r="AJ46" s="207"/>
      <c r="AK46" s="207"/>
    </row>
    <row r="47" spans="1:37" x14ac:dyDescent="0.15">
      <c r="B47" s="207"/>
      <c r="C47" s="207"/>
      <c r="D47" s="207"/>
      <c r="E47" s="207"/>
      <c r="F47" s="207"/>
      <c r="G47" s="207"/>
      <c r="H47" s="207"/>
      <c r="I47" s="207"/>
      <c r="J47" s="207"/>
      <c r="K47" s="207"/>
      <c r="L47" s="207"/>
      <c r="M47" s="389" t="s">
        <v>266</v>
      </c>
      <c r="N47" s="389"/>
      <c r="O47" s="389"/>
      <c r="P47" s="389"/>
      <c r="Q47" s="389"/>
      <c r="R47" s="207"/>
      <c r="S47" s="392"/>
      <c r="T47" s="392"/>
      <c r="U47" s="392"/>
      <c r="V47" s="392"/>
      <c r="W47" s="392"/>
      <c r="X47" s="392"/>
      <c r="Y47" s="207"/>
      <c r="Z47" s="392" t="s">
        <v>246</v>
      </c>
      <c r="AA47" s="392"/>
      <c r="AB47" s="392"/>
      <c r="AC47" s="392"/>
      <c r="AD47" s="392"/>
      <c r="AE47" s="392"/>
      <c r="AF47" s="207"/>
      <c r="AG47" s="207"/>
      <c r="AH47" s="207"/>
      <c r="AI47" s="207"/>
      <c r="AJ47" s="207"/>
      <c r="AK47" s="207"/>
    </row>
    <row r="48" spans="1:37" x14ac:dyDescent="0.15">
      <c r="B48" s="207"/>
      <c r="C48" s="207"/>
      <c r="D48" s="207"/>
      <c r="E48" s="207"/>
      <c r="F48" s="207"/>
      <c r="G48" s="207"/>
      <c r="H48" s="207"/>
      <c r="I48" s="207"/>
      <c r="J48" s="207"/>
      <c r="K48" s="207"/>
      <c r="L48" s="207"/>
      <c r="M48" s="389"/>
      <c r="N48" s="389"/>
      <c r="O48" s="389"/>
      <c r="P48" s="389"/>
      <c r="Q48" s="389"/>
      <c r="R48" s="207"/>
      <c r="S48" s="389" t="s">
        <v>247</v>
      </c>
      <c r="T48" s="389"/>
      <c r="U48" s="389"/>
      <c r="V48" s="389"/>
      <c r="W48" s="389"/>
      <c r="X48" s="389"/>
      <c r="Y48" s="207"/>
      <c r="Z48" s="392"/>
      <c r="AA48" s="392"/>
      <c r="AB48" s="392"/>
      <c r="AC48" s="392"/>
      <c r="AD48" s="392"/>
      <c r="AE48" s="392"/>
      <c r="AF48" s="207"/>
      <c r="AG48" s="207"/>
      <c r="AH48" s="207"/>
      <c r="AI48" s="207"/>
      <c r="AJ48" s="207"/>
      <c r="AK48" s="207"/>
    </row>
    <row r="49" spans="1:37" ht="39.950000000000003" customHeight="1" x14ac:dyDescent="0.15">
      <c r="B49" s="207"/>
      <c r="C49" s="207"/>
      <c r="D49" s="207"/>
      <c r="E49" s="207"/>
      <c r="F49" s="207"/>
      <c r="G49" s="207"/>
      <c r="H49" s="207"/>
      <c r="I49" s="207"/>
      <c r="J49" s="207"/>
      <c r="K49" s="207"/>
      <c r="L49" s="207"/>
      <c r="M49" s="389"/>
      <c r="N49" s="389"/>
      <c r="O49" s="389"/>
      <c r="P49" s="389"/>
      <c r="Q49" s="389"/>
      <c r="R49" s="207"/>
      <c r="S49" s="389"/>
      <c r="T49" s="389"/>
      <c r="U49" s="389"/>
      <c r="V49" s="389"/>
      <c r="W49" s="389"/>
      <c r="X49" s="389"/>
      <c r="Y49" s="207"/>
      <c r="Z49" s="389" t="s">
        <v>249</v>
      </c>
      <c r="AA49" s="389"/>
      <c r="AB49" s="389"/>
      <c r="AC49" s="389"/>
      <c r="AD49" s="389"/>
      <c r="AE49" s="389"/>
      <c r="AF49" s="207"/>
      <c r="AG49" s="207"/>
      <c r="AH49" s="207"/>
      <c r="AI49" s="207"/>
      <c r="AJ49" s="207"/>
      <c r="AK49" s="207"/>
    </row>
    <row r="50" spans="1:37" x14ac:dyDescent="0.15">
      <c r="B50" s="207"/>
      <c r="C50" s="207"/>
      <c r="D50" s="207"/>
      <c r="E50" s="207"/>
      <c r="F50" s="207"/>
      <c r="G50" s="207"/>
      <c r="H50" s="207"/>
      <c r="I50" s="207"/>
      <c r="J50" s="207"/>
      <c r="K50" s="207"/>
      <c r="L50" s="207"/>
      <c r="M50" s="207"/>
      <c r="N50" s="207"/>
      <c r="O50" s="207"/>
      <c r="P50" s="207"/>
      <c r="Q50" s="207"/>
      <c r="R50" s="207"/>
      <c r="S50" s="211"/>
      <c r="T50" s="207"/>
      <c r="U50" s="207"/>
      <c r="V50" s="207"/>
      <c r="W50" s="207"/>
      <c r="X50" s="207"/>
      <c r="Y50" s="207"/>
      <c r="Z50" s="220"/>
      <c r="AA50" s="220"/>
      <c r="AB50" s="220"/>
      <c r="AC50" s="220"/>
      <c r="AD50" s="220"/>
      <c r="AE50" s="220"/>
      <c r="AF50" s="207"/>
      <c r="AG50" s="207"/>
      <c r="AH50" s="207"/>
      <c r="AI50" s="207"/>
      <c r="AJ50" s="207"/>
      <c r="AK50" s="207"/>
    </row>
    <row r="51" spans="1:37" ht="21" x14ac:dyDescent="0.15">
      <c r="A51" s="35" t="s">
        <v>109</v>
      </c>
      <c r="B51" s="207" t="s">
        <v>238</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row>
    <row r="52" spans="1:37" ht="21.75" customHeight="1" x14ac:dyDescent="0.15">
      <c r="A52" s="38"/>
      <c r="B52" s="217" t="s">
        <v>74</v>
      </c>
      <c r="C52" s="217" t="s">
        <v>24</v>
      </c>
      <c r="D52" s="396" t="s">
        <v>23</v>
      </c>
      <c r="E52" s="390"/>
      <c r="F52" s="207"/>
      <c r="G52" s="207"/>
      <c r="H52" s="207"/>
      <c r="I52" s="207"/>
      <c r="J52" s="207"/>
      <c r="K52" s="207"/>
      <c r="L52" s="207"/>
      <c r="M52" s="207"/>
      <c r="N52" s="207"/>
      <c r="O52" s="207"/>
      <c r="P52" s="207"/>
      <c r="Q52" s="211"/>
      <c r="R52" s="207"/>
      <c r="S52" s="207"/>
      <c r="T52" s="207"/>
      <c r="U52" s="207"/>
      <c r="V52" s="207"/>
      <c r="W52" s="207"/>
      <c r="X52" s="211"/>
      <c r="Y52" s="207"/>
      <c r="Z52" s="207"/>
      <c r="AA52" s="207"/>
      <c r="AB52" s="207"/>
      <c r="AC52" s="207"/>
      <c r="AD52" s="207"/>
      <c r="AE52" s="207"/>
      <c r="AF52" s="207"/>
      <c r="AG52" s="207"/>
      <c r="AH52" s="207"/>
      <c r="AI52" s="207"/>
      <c r="AJ52" s="207"/>
      <c r="AK52" s="207"/>
    </row>
    <row r="53" spans="1:37" ht="25.5" customHeight="1" x14ac:dyDescent="0.15">
      <c r="B53" s="219"/>
      <c r="C53" s="219"/>
      <c r="D53" s="208" t="s">
        <v>110</v>
      </c>
      <c r="E53" s="208" t="s">
        <v>111</v>
      </c>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row>
    <row r="54" spans="1:37" ht="21.75" customHeight="1" x14ac:dyDescent="0.15">
      <c r="B54" s="208" t="s">
        <v>16</v>
      </c>
      <c r="C54" s="208" t="s">
        <v>112</v>
      </c>
      <c r="D54" s="231">
        <v>0.47</v>
      </c>
      <c r="E54" s="231">
        <v>0.38</v>
      </c>
      <c r="F54" s="207"/>
      <c r="G54" s="207"/>
      <c r="H54" s="207"/>
      <c r="I54" s="207"/>
      <c r="J54" s="207"/>
      <c r="K54" s="207"/>
      <c r="L54" s="207"/>
      <c r="M54" s="207"/>
      <c r="N54" s="207"/>
      <c r="O54" s="207"/>
      <c r="P54" s="207"/>
      <c r="Q54" s="211"/>
      <c r="R54" s="207"/>
      <c r="S54" s="207"/>
      <c r="T54" s="207"/>
      <c r="U54" s="207"/>
      <c r="V54" s="207"/>
      <c r="W54" s="207"/>
      <c r="X54" s="211"/>
      <c r="Y54" s="207"/>
      <c r="Z54" s="207"/>
      <c r="AA54" s="207"/>
      <c r="AB54" s="207"/>
      <c r="AC54" s="207"/>
      <c r="AD54" s="207"/>
      <c r="AE54" s="207"/>
      <c r="AF54" s="207"/>
      <c r="AG54" s="207"/>
      <c r="AH54" s="207"/>
      <c r="AI54" s="207"/>
      <c r="AJ54" s="207"/>
      <c r="AK54" s="207"/>
    </row>
    <row r="55" spans="1:37" ht="21.75" customHeight="1" x14ac:dyDescent="0.15">
      <c r="B55" s="208" t="s">
        <v>17</v>
      </c>
      <c r="C55" s="208" t="s">
        <v>112</v>
      </c>
      <c r="D55" s="210">
        <v>0.47</v>
      </c>
      <c r="E55" s="210">
        <v>0.38</v>
      </c>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row>
    <row r="56" spans="1:37" ht="21.75" customHeight="1" x14ac:dyDescent="0.15">
      <c r="B56" s="208" t="s">
        <v>54</v>
      </c>
      <c r="C56" s="208" t="s">
        <v>69</v>
      </c>
      <c r="D56" s="218">
        <v>0.05</v>
      </c>
      <c r="E56" s="218">
        <v>0.05</v>
      </c>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row>
    <row r="57" spans="1:37" ht="43.5" customHeight="1" x14ac:dyDescent="0.15">
      <c r="B57" s="387" t="s">
        <v>239</v>
      </c>
      <c r="C57" s="387"/>
      <c r="D57" s="387"/>
      <c r="E57" s="38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row>
    <row r="58" spans="1:37" x14ac:dyDescent="0.15">
      <c r="B58" s="211" t="s">
        <v>240</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row>
    <row r="59" spans="1:37" x14ac:dyDescent="0.15">
      <c r="B59" s="392" t="s">
        <v>241</v>
      </c>
      <c r="C59" s="392"/>
      <c r="D59" s="392"/>
      <c r="E59" s="392"/>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row>
    <row r="60" spans="1:37" x14ac:dyDescent="0.15">
      <c r="B60" s="392"/>
      <c r="C60" s="392"/>
      <c r="D60" s="392"/>
      <c r="E60" s="392"/>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row>
    <row r="61" spans="1:37" ht="14.1" customHeight="1" x14ac:dyDescent="0.15">
      <c r="B61" s="392" t="s">
        <v>242</v>
      </c>
      <c r="C61" s="392"/>
      <c r="D61" s="392"/>
      <c r="E61" s="392"/>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row>
    <row r="62" spans="1:37" x14ac:dyDescent="0.15">
      <c r="B62" s="392"/>
      <c r="C62" s="392"/>
      <c r="D62" s="392"/>
      <c r="E62" s="392"/>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row>
    <row r="63" spans="1:37" x14ac:dyDescent="0.15">
      <c r="B63" s="392"/>
      <c r="C63" s="392"/>
      <c r="D63" s="392"/>
      <c r="E63" s="392"/>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row>
    <row r="64" spans="1:37" x14ac:dyDescent="0.15">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row>
    <row r="65" spans="1:37" ht="21" x14ac:dyDescent="0.15">
      <c r="A65" s="181" t="s">
        <v>209</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row>
    <row r="66" spans="1:37" x14ac:dyDescent="0.15">
      <c r="A66" s="182"/>
      <c r="B66" s="217" t="s">
        <v>74</v>
      </c>
      <c r="C66" s="232" t="s">
        <v>24</v>
      </c>
      <c r="D66" s="233" t="s">
        <v>23</v>
      </c>
      <c r="E66" s="234"/>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row>
    <row r="67" spans="1:37" ht="25.5" customHeight="1" x14ac:dyDescent="0.15">
      <c r="B67" s="219"/>
      <c r="C67" s="235"/>
      <c r="D67" s="219"/>
      <c r="E67" s="236"/>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row>
    <row r="68" spans="1:37" ht="21.75" customHeight="1" x14ac:dyDescent="0.15">
      <c r="B68" s="208" t="s">
        <v>16</v>
      </c>
      <c r="C68" s="208" t="s">
        <v>53</v>
      </c>
      <c r="D68" s="231">
        <v>0.46</v>
      </c>
      <c r="E68" s="236"/>
      <c r="F68" s="207"/>
      <c r="G68" s="211"/>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row>
    <row r="69" spans="1:37" ht="21.75" customHeight="1" x14ac:dyDescent="0.15">
      <c r="B69" s="208" t="s">
        <v>17</v>
      </c>
      <c r="C69" s="208" t="s">
        <v>53</v>
      </c>
      <c r="D69" s="210">
        <v>0.46</v>
      </c>
      <c r="E69" s="236"/>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row>
    <row r="70" spans="1:37" ht="21.75" customHeight="1" x14ac:dyDescent="0.15">
      <c r="B70" s="208" t="s">
        <v>54</v>
      </c>
      <c r="C70" s="208" t="s">
        <v>69</v>
      </c>
      <c r="D70" s="218">
        <v>0.06</v>
      </c>
      <c r="E70" s="23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row>
    <row r="71" spans="1:37" x14ac:dyDescent="0.15">
      <c r="B71" s="211" t="s">
        <v>217</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row>
    <row r="72" spans="1:37" x14ac:dyDescent="0.15">
      <c r="B72" s="211" t="s">
        <v>216</v>
      </c>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row>
    <row r="73" spans="1:37" x14ac:dyDescent="0.15">
      <c r="B73" s="211" t="s">
        <v>243</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row>
    <row r="74" spans="1:37" x14ac:dyDescent="0.15">
      <c r="B74" s="211" t="s">
        <v>218</v>
      </c>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row>
    <row r="75" spans="1:37" x14ac:dyDescent="0.15">
      <c r="B75" s="211" t="s">
        <v>244</v>
      </c>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row>
    <row r="76" spans="1:37" x14ac:dyDescent="0.15">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row>
    <row r="77" spans="1:37" x14ac:dyDescent="0.15">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row>
    <row r="78" spans="1:37" x14ac:dyDescent="0.15">
      <c r="B78" s="207"/>
      <c r="C78" s="207"/>
      <c r="D78" s="207"/>
      <c r="E78" s="207"/>
      <c r="F78" s="207"/>
      <c r="G78" s="207"/>
      <c r="H78" s="207"/>
      <c r="I78" s="207"/>
      <c r="J78" s="207"/>
      <c r="K78" s="207"/>
      <c r="L78" s="207"/>
      <c r="M78" s="238"/>
      <c r="N78" s="238"/>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row>
    <row r="79" spans="1:37" x14ac:dyDescent="0.15">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row>
    <row r="80" spans="1:37" x14ac:dyDescent="0.15">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row>
  </sheetData>
  <mergeCells count="33">
    <mergeCell ref="Z47:AE48"/>
    <mergeCell ref="B57:E57"/>
    <mergeCell ref="B59:E60"/>
    <mergeCell ref="B61:E63"/>
    <mergeCell ref="D52:E52"/>
    <mergeCell ref="J34:L34"/>
    <mergeCell ref="N34:P34"/>
    <mergeCell ref="R33:U33"/>
    <mergeCell ref="S46:X47"/>
    <mergeCell ref="S48:X49"/>
    <mergeCell ref="M47:Q49"/>
    <mergeCell ref="M45:Q46"/>
    <mergeCell ref="F24:H24"/>
    <mergeCell ref="F25:H25"/>
    <mergeCell ref="B34:D34"/>
    <mergeCell ref="F34:H34"/>
    <mergeCell ref="B33:D33"/>
    <mergeCell ref="B42:F42"/>
    <mergeCell ref="F16:H16"/>
    <mergeCell ref="Z49:AE49"/>
    <mergeCell ref="J37:K37"/>
    <mergeCell ref="S39:S40"/>
    <mergeCell ref="S41:S42"/>
    <mergeCell ref="F26:H26"/>
    <mergeCell ref="F33:H33"/>
    <mergeCell ref="N33:P33"/>
    <mergeCell ref="J33:L33"/>
    <mergeCell ref="B43:F43"/>
    <mergeCell ref="Z39:Z40"/>
    <mergeCell ref="Z41:Z42"/>
    <mergeCell ref="B16:D16"/>
    <mergeCell ref="B17:D17"/>
    <mergeCell ref="B24:D24"/>
  </mergeCells>
  <phoneticPr fontId="1"/>
  <hyperlinks>
    <hyperlink ref="B1" r:id="rId1" xr:uid="{70648FA1-C436-40F0-9262-C5DA8C3F34B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条件入力表</vt:lpstr>
      <vt:lpstr>総括内訳表</vt:lpstr>
      <vt:lpstr>直接事業費 内訳</vt:lpstr>
      <vt:lpstr>№1-1（伐倒）</vt:lpstr>
      <vt:lpstr>№1-2（造材）</vt:lpstr>
      <vt:lpstr>№1-3（集材）</vt:lpstr>
      <vt:lpstr>№1-4（森林作業道作設）</vt:lpstr>
      <vt:lpstr>№1-5（その他作業）</vt:lpstr>
      <vt:lpstr>作業工程表</vt:lpstr>
      <vt:lpstr>諸雑費</vt:lpstr>
      <vt:lpstr>森林作業道作設諸雑費等</vt:lpstr>
      <vt:lpstr>'№1-2（造材）'!Print_Area</vt:lpstr>
      <vt:lpstr>'№1-3（集材）'!Print_Area</vt:lpstr>
      <vt:lpstr>'№1-5（その他作業）'!Print_Area</vt:lpstr>
      <vt:lpstr>条件入力表!Print_Area</vt:lpstr>
      <vt:lpstr>'直接事業費 内訳'!Print_Area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N0212604</dc:creator>
  <cp:keywords/>
  <dc:description/>
  <cp:lastModifiedBy>石原　拓弥</cp:lastModifiedBy>
  <cp:revision/>
  <cp:lastPrinted>2023-04-06T04:39:41Z</cp:lastPrinted>
  <dcterms:created xsi:type="dcterms:W3CDTF">2015-07-22T07:08:08Z</dcterms:created>
  <dcterms:modified xsi:type="dcterms:W3CDTF">2023-04-13T07:09:34Z</dcterms:modified>
  <cp:category/>
  <cp:contentStatus/>
</cp:coreProperties>
</file>